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705" yWindow="-15" windowWidth="9525" windowHeight="11760"/>
  </bookViews>
  <sheets>
    <sheet name="Cover Page" sheetId="55" r:id="rId1"/>
    <sheet name="Contents" sheetId="56" r:id="rId2"/>
    <sheet name="Table IA" sheetId="1" r:id="rId3"/>
    <sheet name="Table IB" sheetId="2" r:id="rId4"/>
    <sheet name="TableIIA" sheetId="3" r:id="rId5"/>
    <sheet name="TableIIB" sheetId="35" r:id="rId6"/>
    <sheet name="TableIIC " sheetId="4" r:id="rId7"/>
    <sheet name="Table IID" sheetId="51" r:id="rId8"/>
    <sheet name="Table IIE" sheetId="5" r:id="rId9"/>
    <sheet name="Table IIF" sheetId="36" r:id="rId10"/>
    <sheet name="Table IIG" sheetId="59" r:id="rId11"/>
    <sheet name="Table III A" sheetId="6" r:id="rId12"/>
    <sheet name="Table IIIB" sheetId="50" r:id="rId13"/>
    <sheet name="Table IV" sheetId="7" r:id="rId14"/>
    <sheet name="Table V" sheetId="8" r:id="rId15"/>
    <sheet name="Table VI" sheetId="10" r:id="rId16"/>
    <sheet name="Table VII" sheetId="11" r:id="rId17"/>
    <sheet name="Table VIII" sheetId="13" r:id="rId18"/>
    <sheet name="TableIXA" sheetId="37" r:id="rId19"/>
    <sheet name="TableIXB" sheetId="38" r:id="rId20"/>
    <sheet name="TableIXC" sheetId="39" r:id="rId21"/>
    <sheet name="TableX" sheetId="40" r:id="rId22"/>
    <sheet name="TableXI" sheetId="41" r:id="rId23"/>
    <sheet name="Table XIIA" sheetId="57" r:id="rId24"/>
    <sheet name="Table XIIB" sheetId="21" r:id="rId25"/>
    <sheet name="TableXIII" sheetId="42" r:id="rId26"/>
    <sheet name="Table XIV" sheetId="53" r:id="rId27"/>
    <sheet name="TableXV" sheetId="43" r:id="rId28"/>
    <sheet name="TableXVI" sheetId="44" r:id="rId29"/>
    <sheet name="Table XVII" sheetId="27" r:id="rId30"/>
    <sheet name="Table XVIII" sheetId="28" r:id="rId31"/>
    <sheet name="TableXIX" sheetId="45" r:id="rId32"/>
    <sheet name="TableXX" sheetId="58" r:id="rId33"/>
    <sheet name="TableXXI" sheetId="47" r:id="rId34"/>
    <sheet name="Table XXII" sheetId="32" r:id="rId35"/>
    <sheet name="Table XXIII" sheetId="33" r:id="rId36"/>
    <sheet name="Appendix- Weights &amp; Measures" sheetId="52" r:id="rId37"/>
  </sheets>
  <definedNames>
    <definedName name="_xlnm._FilterDatabase" localSheetId="2" hidden="1">'Table IA'!#REF!</definedName>
    <definedName name="_xlnm._FilterDatabase" localSheetId="3" hidden="1">'Table IB'!$D$1:$D$95</definedName>
    <definedName name="ReportLinkMenu" localSheetId="27">TableXV!#REF!</definedName>
    <definedName name="SectionElements" localSheetId="27">TableXV!#REF!</definedName>
  </definedNames>
  <calcPr calcId="125725"/>
  <fileRecoveryPr autoRecover="0"/>
</workbook>
</file>

<file path=xl/calcChain.xml><?xml version="1.0" encoding="utf-8"?>
<calcChain xmlns="http://schemas.openxmlformats.org/spreadsheetml/2006/main">
  <c r="C38" i="6"/>
  <c r="R69" i="41"/>
  <c r="Q69"/>
  <c r="B48" i="40"/>
  <c r="E68"/>
  <c r="D68"/>
  <c r="Q40" i="32"/>
  <c r="G24" i="28"/>
  <c r="U4" i="45"/>
  <c r="U6"/>
  <c r="U7"/>
  <c r="U8"/>
  <c r="U9"/>
  <c r="U10"/>
  <c r="U11"/>
  <c r="U12"/>
  <c r="U13"/>
  <c r="U14"/>
  <c r="U15"/>
  <c r="U16"/>
  <c r="U17"/>
  <c r="U18"/>
  <c r="U19"/>
  <c r="U20"/>
  <c r="U21"/>
  <c r="U22"/>
  <c r="U23"/>
  <c r="U5"/>
  <c r="U66"/>
  <c r="G50" i="28"/>
  <c r="E50"/>
  <c r="C50"/>
  <c r="L68" i="7"/>
  <c r="L69"/>
  <c r="L70"/>
  <c r="U70" i="45"/>
  <c r="L61" i="36"/>
  <c r="G61"/>
  <c r="K75" i="3"/>
  <c r="L75" s="1"/>
  <c r="N75" s="1"/>
  <c r="O75" s="1"/>
  <c r="K74"/>
  <c r="J61" i="36"/>
  <c r="S67" i="5"/>
  <c r="T67" s="1"/>
  <c r="P67"/>
  <c r="Q67" s="1"/>
  <c r="M67"/>
  <c r="J67"/>
  <c r="F67"/>
  <c r="AW70" i="1"/>
  <c r="J71" i="51"/>
  <c r="K71" s="1"/>
  <c r="H71"/>
  <c r="H73" i="4"/>
  <c r="J61" i="35"/>
  <c r="G61"/>
  <c r="L61" s="1"/>
  <c r="J75" i="3"/>
  <c r="G75"/>
  <c r="D75"/>
  <c r="CF70" i="1"/>
  <c r="CC70"/>
  <c r="BW70" l="1"/>
  <c r="BV70"/>
  <c r="BI70"/>
  <c r="BD70"/>
  <c r="BY70"/>
  <c r="V69" i="6"/>
  <c r="W69" s="1"/>
  <c r="N69"/>
  <c r="O69" s="1"/>
  <c r="K69"/>
  <c r="H69"/>
  <c r="E69"/>
  <c r="AY70" i="1"/>
  <c r="AZ70" s="1"/>
  <c r="BA70" s="1"/>
  <c r="AM70"/>
  <c r="AQ70"/>
  <c r="BX70" s="1"/>
  <c r="AP70"/>
  <c r="AO70"/>
  <c r="AN70"/>
  <c r="AI70"/>
  <c r="AE70"/>
  <c r="W70"/>
  <c r="X70" s="1"/>
  <c r="U70" l="1"/>
  <c r="T70"/>
  <c r="O70"/>
  <c r="M70"/>
  <c r="AN70" i="7"/>
  <c r="AM70"/>
  <c r="P70"/>
  <c r="K70"/>
  <c r="R68" i="41"/>
  <c r="Q68"/>
  <c r="E67" i="40"/>
  <c r="D67"/>
  <c r="P39" i="33"/>
  <c r="O39"/>
  <c r="N39"/>
  <c r="M39"/>
  <c r="L67" i="10"/>
  <c r="I70" i="50"/>
  <c r="E70"/>
  <c r="I65" i="13"/>
  <c r="H65"/>
  <c r="G65"/>
  <c r="E65"/>
  <c r="D65"/>
  <c r="C65"/>
  <c r="AN69" i="7"/>
  <c r="AO69" s="1"/>
  <c r="AP69" s="1"/>
  <c r="AM69"/>
  <c r="P69"/>
  <c r="H60" i="44"/>
  <c r="H47" s="1"/>
  <c r="G60"/>
  <c r="G47" s="1"/>
  <c r="F60"/>
  <c r="F47" s="1"/>
  <c r="E60"/>
  <c r="D60"/>
  <c r="C60"/>
  <c r="C47" s="1"/>
  <c r="Y34" i="8"/>
  <c r="Y33"/>
  <c r="L58" i="39"/>
  <c r="J58"/>
  <c r="G58"/>
  <c r="B58" i="37"/>
  <c r="U69" i="45"/>
  <c r="L66" i="10"/>
  <c r="V68" i="6"/>
  <c r="W68"/>
  <c r="N68"/>
  <c r="O68"/>
  <c r="K68"/>
  <c r="H68"/>
  <c r="E68"/>
  <c r="J70" i="51"/>
  <c r="K70"/>
  <c r="H70"/>
  <c r="H72" i="4"/>
  <c r="L60" i="35"/>
  <c r="L74" i="3"/>
  <c r="N74" s="1"/>
  <c r="O74" s="1"/>
  <c r="J74"/>
  <c r="G74"/>
  <c r="D74"/>
  <c r="AW69" i="1"/>
  <c r="BV69"/>
  <c r="BW69"/>
  <c r="BX69"/>
  <c r="BI69"/>
  <c r="BD69"/>
  <c r="BY69"/>
  <c r="AY69"/>
  <c r="AZ69"/>
  <c r="BA69"/>
  <c r="AQ69"/>
  <c r="AP69"/>
  <c r="AM69"/>
  <c r="AO69"/>
  <c r="AN69"/>
  <c r="AI69"/>
  <c r="AE69"/>
  <c r="W69"/>
  <c r="X69"/>
  <c r="T69"/>
  <c r="U69"/>
  <c r="O69"/>
  <c r="M69"/>
  <c r="L60" i="36"/>
  <c r="J60"/>
  <c r="G60"/>
  <c r="S66" i="5"/>
  <c r="T66"/>
  <c r="P66"/>
  <c r="Q66"/>
  <c r="M66"/>
  <c r="J66"/>
  <c r="F66"/>
  <c r="Q67" i="41"/>
  <c r="R67"/>
  <c r="E66" i="40"/>
  <c r="D66"/>
  <c r="L65" i="10"/>
  <c r="U68" i="45"/>
  <c r="AN68" i="7"/>
  <c r="AM68"/>
  <c r="P68"/>
  <c r="K68"/>
  <c r="V67" i="6"/>
  <c r="W67"/>
  <c r="N67"/>
  <c r="O67"/>
  <c r="K67"/>
  <c r="H67"/>
  <c r="E67"/>
  <c r="L59" i="36"/>
  <c r="J59"/>
  <c r="G59"/>
  <c r="S65" i="5"/>
  <c r="T65"/>
  <c r="P65"/>
  <c r="Q65"/>
  <c r="M65"/>
  <c r="J65"/>
  <c r="F65"/>
  <c r="J69" i="51"/>
  <c r="K69"/>
  <c r="H69"/>
  <c r="H71" i="4"/>
  <c r="J59" i="35"/>
  <c r="G59"/>
  <c r="L59" s="1"/>
  <c r="N73" i="3"/>
  <c r="O73"/>
  <c r="L73"/>
  <c r="K73"/>
  <c r="J73"/>
  <c r="G73"/>
  <c r="D73"/>
  <c r="L67" i="7"/>
  <c r="BV68" i="1"/>
  <c r="BW68"/>
  <c r="BX68"/>
  <c r="BI68"/>
  <c r="BD68"/>
  <c r="BY68"/>
  <c r="BA68"/>
  <c r="AZ68"/>
  <c r="AY68"/>
  <c r="AW68"/>
  <c r="AQ68"/>
  <c r="AP68"/>
  <c r="AO68"/>
  <c r="AN68"/>
  <c r="AM68"/>
  <c r="AI68"/>
  <c r="AE68"/>
  <c r="W68"/>
  <c r="X68"/>
  <c r="U68"/>
  <c r="T68"/>
  <c r="O68"/>
  <c r="M68"/>
  <c r="R66" i="41"/>
  <c r="Q66"/>
  <c r="E65" i="40"/>
  <c r="D65"/>
  <c r="D64"/>
  <c r="V66" i="6"/>
  <c r="W66"/>
  <c r="N66"/>
  <c r="O66"/>
  <c r="K66"/>
  <c r="H66"/>
  <c r="E66"/>
  <c r="AN67" i="7"/>
  <c r="AM67"/>
  <c r="P67"/>
  <c r="AW67" i="1"/>
  <c r="BY67"/>
  <c r="U67" i="45"/>
  <c r="I62" i="50"/>
  <c r="H62"/>
  <c r="G62"/>
  <c r="F62"/>
  <c r="E62"/>
  <c r="D62"/>
  <c r="C62"/>
  <c r="B62"/>
  <c r="I66"/>
  <c r="H66"/>
  <c r="G66"/>
  <c r="F66"/>
  <c r="E66"/>
  <c r="D66"/>
  <c r="C66"/>
  <c r="B66"/>
  <c r="I68"/>
  <c r="E68"/>
  <c r="J68" i="51"/>
  <c r="K68"/>
  <c r="H68"/>
  <c r="H70" i="4"/>
  <c r="J58" i="35"/>
  <c r="G58"/>
  <c r="L58" s="1"/>
  <c r="N72" i="3"/>
  <c r="O72"/>
  <c r="L72"/>
  <c r="K72"/>
  <c r="J72"/>
  <c r="G72"/>
  <c r="D72"/>
  <c r="BX67" i="1"/>
  <c r="BI67"/>
  <c r="BD67"/>
  <c r="AQ67"/>
  <c r="AP67"/>
  <c r="AO67"/>
  <c r="AN67"/>
  <c r="AM67"/>
  <c r="AI67"/>
  <c r="AE67"/>
  <c r="W67"/>
  <c r="X67" s="1"/>
  <c r="T67"/>
  <c r="U67" s="1"/>
  <c r="O67"/>
  <c r="O66"/>
  <c r="M67"/>
  <c r="L58" i="36"/>
  <c r="J58"/>
  <c r="G58"/>
  <c r="S64" i="5"/>
  <c r="T64"/>
  <c r="P64"/>
  <c r="Q64"/>
  <c r="M64"/>
  <c r="J64"/>
  <c r="F64"/>
  <c r="B59" i="39"/>
  <c r="C59"/>
  <c r="D59"/>
  <c r="E59"/>
  <c r="F59"/>
  <c r="H59"/>
  <c r="I59"/>
  <c r="K59"/>
  <c r="S59"/>
  <c r="V59"/>
  <c r="J50" i="11"/>
  <c r="I50"/>
  <c r="G50"/>
  <c r="F50"/>
  <c r="D50"/>
  <c r="C50"/>
  <c r="L64" i="10"/>
  <c r="P50"/>
  <c r="N50"/>
  <c r="K50"/>
  <c r="I50"/>
  <c r="H50"/>
  <c r="G50"/>
  <c r="E50"/>
  <c r="D50"/>
  <c r="C50"/>
  <c r="W65" i="6"/>
  <c r="V65"/>
  <c r="O65"/>
  <c r="N65"/>
  <c r="K65"/>
  <c r="H65"/>
  <c r="E65"/>
  <c r="Q65" i="41"/>
  <c r="R65"/>
  <c r="E64" i="40"/>
  <c r="L66" i="7"/>
  <c r="K66"/>
  <c r="AN66"/>
  <c r="AM66"/>
  <c r="P66"/>
  <c r="L43" i="33"/>
  <c r="L39" s="1"/>
  <c r="K43"/>
  <c r="L44"/>
  <c r="K44"/>
  <c r="L45"/>
  <c r="K45"/>
  <c r="L47"/>
  <c r="K47"/>
  <c r="L48"/>
  <c r="K48"/>
  <c r="L46"/>
  <c r="K46"/>
  <c r="K49"/>
  <c r="L49"/>
  <c r="L50"/>
  <c r="K50"/>
  <c r="L51"/>
  <c r="K51"/>
  <c r="L66"/>
  <c r="K66"/>
  <c r="L57" i="36"/>
  <c r="J57"/>
  <c r="G57"/>
  <c r="S63" i="5"/>
  <c r="T63"/>
  <c r="P63"/>
  <c r="Q63"/>
  <c r="M63"/>
  <c r="J63"/>
  <c r="F63"/>
  <c r="J67" i="51"/>
  <c r="K67"/>
  <c r="H67"/>
  <c r="H69" i="4"/>
  <c r="J57" i="35"/>
  <c r="G57"/>
  <c r="L57" s="1"/>
  <c r="N71" i="3"/>
  <c r="O71"/>
  <c r="L71"/>
  <c r="K71"/>
  <c r="J71"/>
  <c r="G71"/>
  <c r="D71"/>
  <c r="BY66" i="1"/>
  <c r="BX66"/>
  <c r="BW66"/>
  <c r="BV66"/>
  <c r="BI66"/>
  <c r="BD66"/>
  <c r="BA66"/>
  <c r="AZ66"/>
  <c r="AY66"/>
  <c r="AW66"/>
  <c r="AP66"/>
  <c r="AO66"/>
  <c r="AN66"/>
  <c r="AM66"/>
  <c r="AQ66"/>
  <c r="AI66"/>
  <c r="AE66"/>
  <c r="X66"/>
  <c r="W66"/>
  <c r="U66"/>
  <c r="T66"/>
  <c r="M66"/>
  <c r="R29" i="27"/>
  <c r="Q29"/>
  <c r="P29"/>
  <c r="O29"/>
  <c r="P26" i="33"/>
  <c r="K26"/>
  <c r="Q64" i="41"/>
  <c r="R64"/>
  <c r="E63" i="40"/>
  <c r="D63"/>
  <c r="P52" i="2"/>
  <c r="D42" i="36"/>
  <c r="E42"/>
  <c r="F42"/>
  <c r="G42"/>
  <c r="H42"/>
  <c r="I42"/>
  <c r="J42"/>
  <c r="K42"/>
  <c r="L42"/>
  <c r="C42"/>
  <c r="U65" i="45"/>
  <c r="V63" i="6"/>
  <c r="W63"/>
  <c r="O63"/>
  <c r="N63"/>
  <c r="K63"/>
  <c r="H63"/>
  <c r="E63"/>
  <c r="AO65" i="7"/>
  <c r="AP65" s="1"/>
  <c r="AN65"/>
  <c r="AM65"/>
  <c r="P65"/>
  <c r="L65"/>
  <c r="K65"/>
  <c r="L56" i="36"/>
  <c r="J56"/>
  <c r="G56"/>
  <c r="D48" i="5"/>
  <c r="E48"/>
  <c r="F48"/>
  <c r="G48"/>
  <c r="H48"/>
  <c r="I48"/>
  <c r="J48"/>
  <c r="K48"/>
  <c r="L48"/>
  <c r="M48"/>
  <c r="N48"/>
  <c r="O48"/>
  <c r="P48"/>
  <c r="Q48"/>
  <c r="R48"/>
  <c r="S48"/>
  <c r="T48"/>
  <c r="C48"/>
  <c r="T62"/>
  <c r="S62"/>
  <c r="Q62"/>
  <c r="P62"/>
  <c r="M62"/>
  <c r="J62"/>
  <c r="F62"/>
  <c r="D52" i="51"/>
  <c r="E52"/>
  <c r="F52"/>
  <c r="G52"/>
  <c r="H52"/>
  <c r="I52"/>
  <c r="J52"/>
  <c r="K52"/>
  <c r="C52"/>
  <c r="K66"/>
  <c r="J66"/>
  <c r="H66"/>
  <c r="D53" i="4"/>
  <c r="E53"/>
  <c r="F53"/>
  <c r="G53"/>
  <c r="H53"/>
  <c r="C53"/>
  <c r="H68"/>
  <c r="D42" i="35"/>
  <c r="E42"/>
  <c r="F42"/>
  <c r="H42"/>
  <c r="I42"/>
  <c r="K42"/>
  <c r="C42"/>
  <c r="J56"/>
  <c r="G56"/>
  <c r="L56" s="1"/>
  <c r="C56" i="3"/>
  <c r="D56"/>
  <c r="E56"/>
  <c r="F56"/>
  <c r="H56"/>
  <c r="I56"/>
  <c r="J56"/>
  <c r="K56"/>
  <c r="M56"/>
  <c r="B56"/>
  <c r="O70"/>
  <c r="N70"/>
  <c r="K68"/>
  <c r="L70"/>
  <c r="K70"/>
  <c r="J70"/>
  <c r="G70"/>
  <c r="D70"/>
  <c r="BU51" i="1"/>
  <c r="BV51"/>
  <c r="BW51"/>
  <c r="BX51"/>
  <c r="BY51"/>
  <c r="BZ51"/>
  <c r="CA51"/>
  <c r="CB51"/>
  <c r="CC51"/>
  <c r="CD51"/>
  <c r="CE51"/>
  <c r="CF51"/>
  <c r="BT51"/>
  <c r="BM51"/>
  <c r="BN51"/>
  <c r="BO51"/>
  <c r="BP51"/>
  <c r="BL51"/>
  <c r="AT51"/>
  <c r="AU51"/>
  <c r="AV51"/>
  <c r="AW51"/>
  <c r="AX51"/>
  <c r="AY51"/>
  <c r="AZ51"/>
  <c r="BA51"/>
  <c r="BB51"/>
  <c r="BC51"/>
  <c r="BD51"/>
  <c r="BE51"/>
  <c r="BF51"/>
  <c r="BG51"/>
  <c r="BH51"/>
  <c r="BI51"/>
  <c r="AS51"/>
  <c r="AQ51"/>
  <c r="AC51"/>
  <c r="AD51"/>
  <c r="AE51"/>
  <c r="AF51"/>
  <c r="AG51"/>
  <c r="AH51"/>
  <c r="AI51"/>
  <c r="AJ51"/>
  <c r="AK51"/>
  <c r="AL51"/>
  <c r="AM51"/>
  <c r="AN51"/>
  <c r="AO51"/>
  <c r="AP51"/>
  <c r="AB51"/>
  <c r="L51"/>
  <c r="M51"/>
  <c r="N51"/>
  <c r="O51"/>
  <c r="P51"/>
  <c r="Q51"/>
  <c r="R51"/>
  <c r="S51"/>
  <c r="T51"/>
  <c r="U51"/>
  <c r="V51"/>
  <c r="W51"/>
  <c r="X51"/>
  <c r="K51"/>
  <c r="BW65"/>
  <c r="BI65"/>
  <c r="BA65"/>
  <c r="AZ65"/>
  <c r="AY65"/>
  <c r="AW65"/>
  <c r="BY65"/>
  <c r="AW63"/>
  <c r="AP65"/>
  <c r="AO65"/>
  <c r="AN65"/>
  <c r="AM65"/>
  <c r="AI65"/>
  <c r="AE65"/>
  <c r="AQ65"/>
  <c r="T65"/>
  <c r="U65"/>
  <c r="M65"/>
  <c r="O65"/>
  <c r="W65"/>
  <c r="X65"/>
  <c r="L62" i="10"/>
  <c r="L61"/>
  <c r="BW41" i="58"/>
  <c r="BU41"/>
  <c r="BS41"/>
  <c r="BQ41"/>
  <c r="BO41"/>
  <c r="BM41"/>
  <c r="BV41"/>
  <c r="BT41"/>
  <c r="BR41"/>
  <c r="BP41"/>
  <c r="BN41"/>
  <c r="BL41"/>
  <c r="BJ41"/>
  <c r="BK41"/>
  <c r="BH41"/>
  <c r="BF41"/>
  <c r="BD41"/>
  <c r="BB41"/>
  <c r="AZ41"/>
  <c r="AX41"/>
  <c r="BG41"/>
  <c r="BE41"/>
  <c r="BC41"/>
  <c r="BA41"/>
  <c r="AY41"/>
  <c r="AW41"/>
  <c r="AU41"/>
  <c r="AV41"/>
  <c r="AS41"/>
  <c r="AQ41"/>
  <c r="AO41"/>
  <c r="AM41"/>
  <c r="AK41"/>
  <c r="AI41"/>
  <c r="AR41"/>
  <c r="AP41"/>
  <c r="AN41"/>
  <c r="AL41"/>
  <c r="AJ41"/>
  <c r="AH41"/>
  <c r="AF41"/>
  <c r="AG41"/>
  <c r="AD41"/>
  <c r="AB41"/>
  <c r="Z41"/>
  <c r="X41"/>
  <c r="V41"/>
  <c r="T41"/>
  <c r="AC41"/>
  <c r="AA41"/>
  <c r="Y41"/>
  <c r="W41"/>
  <c r="U41"/>
  <c r="S41"/>
  <c r="Q41"/>
  <c r="R41"/>
  <c r="O41"/>
  <c r="M41"/>
  <c r="K41"/>
  <c r="I41"/>
  <c r="G41"/>
  <c r="E41"/>
  <c r="N41"/>
  <c r="L41"/>
  <c r="J41"/>
  <c r="H41"/>
  <c r="F41"/>
  <c r="D41"/>
  <c r="C41"/>
  <c r="B41"/>
  <c r="C50" i="45"/>
  <c r="B50"/>
  <c r="E50" i="11"/>
  <c r="H50"/>
  <c r="K50"/>
  <c r="L50"/>
  <c r="M50"/>
  <c r="N50"/>
  <c r="O50"/>
  <c r="P50"/>
  <c r="Q50"/>
  <c r="B50"/>
  <c r="N40" i="32"/>
  <c r="O40"/>
  <c r="P40"/>
  <c r="R40"/>
  <c r="S40"/>
  <c r="T40"/>
  <c r="U40"/>
  <c r="M40"/>
  <c r="K40"/>
  <c r="C40"/>
  <c r="D40"/>
  <c r="E40"/>
  <c r="F40"/>
  <c r="G40"/>
  <c r="H40"/>
  <c r="I40"/>
  <c r="B40"/>
  <c r="AC48" i="43"/>
  <c r="AD48"/>
  <c r="AE48"/>
  <c r="AF48"/>
  <c r="AG48"/>
  <c r="AH48"/>
  <c r="AI48"/>
  <c r="AJ48"/>
  <c r="AK48"/>
  <c r="AL48"/>
  <c r="AM48"/>
  <c r="AB48"/>
  <c r="P48"/>
  <c r="Q48"/>
  <c r="R48"/>
  <c r="S48"/>
  <c r="T48"/>
  <c r="U48"/>
  <c r="V48"/>
  <c r="W48"/>
  <c r="X48"/>
  <c r="Y48"/>
  <c r="Z48"/>
  <c r="O48"/>
  <c r="C48"/>
  <c r="D48"/>
  <c r="E48"/>
  <c r="F48"/>
  <c r="G48"/>
  <c r="H48"/>
  <c r="I48"/>
  <c r="J48"/>
  <c r="K48"/>
  <c r="L48"/>
  <c r="M48"/>
  <c r="B48"/>
  <c r="N55" i="3"/>
  <c r="N43"/>
  <c r="D52" i="33"/>
  <c r="E52"/>
  <c r="F52"/>
  <c r="G52"/>
  <c r="H52"/>
  <c r="I52"/>
  <c r="J52"/>
  <c r="K52"/>
  <c r="C52"/>
  <c r="D49" i="41"/>
  <c r="E49"/>
  <c r="F49"/>
  <c r="G49"/>
  <c r="H49"/>
  <c r="I49"/>
  <c r="J49"/>
  <c r="K49"/>
  <c r="L49"/>
  <c r="M49"/>
  <c r="N49"/>
  <c r="O49"/>
  <c r="P49"/>
  <c r="Q49"/>
  <c r="R49"/>
  <c r="C49"/>
  <c r="R63"/>
  <c r="Q63"/>
  <c r="E62" i="40"/>
  <c r="D62"/>
  <c r="C48"/>
  <c r="O52" i="2"/>
  <c r="N52"/>
  <c r="I52" i="13"/>
  <c r="H52"/>
  <c r="G52"/>
  <c r="G39"/>
  <c r="E52"/>
  <c r="D52"/>
  <c r="C52"/>
  <c r="M52" i="2"/>
  <c r="L52"/>
  <c r="Y51" i="7"/>
  <c r="Z51"/>
  <c r="AA51"/>
  <c r="AB51"/>
  <c r="AC51"/>
  <c r="AD51"/>
  <c r="AE51"/>
  <c r="AF51"/>
  <c r="AG51"/>
  <c r="AH51"/>
  <c r="AI51"/>
  <c r="AJ51"/>
  <c r="AK51"/>
  <c r="AL51"/>
  <c r="AM51"/>
  <c r="X51"/>
  <c r="C51"/>
  <c r="D51"/>
  <c r="E51"/>
  <c r="F51"/>
  <c r="G51"/>
  <c r="H51"/>
  <c r="I51"/>
  <c r="J51"/>
  <c r="L51"/>
  <c r="M51"/>
  <c r="O51"/>
  <c r="Q51"/>
  <c r="R51"/>
  <c r="S51"/>
  <c r="T51"/>
  <c r="U51"/>
  <c r="B51"/>
  <c r="AN63"/>
  <c r="AM63"/>
  <c r="P63"/>
  <c r="E50" i="45"/>
  <c r="F50"/>
  <c r="G50"/>
  <c r="H50"/>
  <c r="I50"/>
  <c r="J50"/>
  <c r="K50"/>
  <c r="L50"/>
  <c r="M50"/>
  <c r="N50"/>
  <c r="O50"/>
  <c r="P50"/>
  <c r="Q50"/>
  <c r="R50"/>
  <c r="S50"/>
  <c r="T50"/>
  <c r="D50"/>
  <c r="U64"/>
  <c r="L63" i="7"/>
  <c r="K63"/>
  <c r="F63"/>
  <c r="L64" i="33"/>
  <c r="K64"/>
  <c r="I67" i="50"/>
  <c r="E67"/>
  <c r="F52" i="2"/>
  <c r="G52"/>
  <c r="H52"/>
  <c r="I52"/>
  <c r="J52"/>
  <c r="K52"/>
  <c r="D52"/>
  <c r="E52"/>
  <c r="C52"/>
  <c r="H64" i="51"/>
  <c r="J64"/>
  <c r="K64"/>
  <c r="H66" i="4"/>
  <c r="H64"/>
  <c r="J54" i="35"/>
  <c r="J42" s="1"/>
  <c r="G54"/>
  <c r="G42" s="1"/>
  <c r="J68" i="3"/>
  <c r="G68"/>
  <c r="G56" s="1"/>
  <c r="D68"/>
  <c r="BI63" i="1"/>
  <c r="BW63"/>
  <c r="AP63"/>
  <c r="AO63"/>
  <c r="AN63"/>
  <c r="AM63"/>
  <c r="AI63"/>
  <c r="AE63"/>
  <c r="T63"/>
  <c r="U63"/>
  <c r="M63"/>
  <c r="O63"/>
  <c r="W63"/>
  <c r="X63"/>
  <c r="J54" i="36"/>
  <c r="L54"/>
  <c r="G54"/>
  <c r="P60" i="5"/>
  <c r="M60"/>
  <c r="J60"/>
  <c r="F60"/>
  <c r="V62" i="6"/>
  <c r="W62"/>
  <c r="N62"/>
  <c r="K62"/>
  <c r="H62"/>
  <c r="E62"/>
  <c r="O62"/>
  <c r="Q61" i="41"/>
  <c r="R61"/>
  <c r="E60" i="40"/>
  <c r="E48"/>
  <c r="D60"/>
  <c r="D48"/>
  <c r="U62" i="45"/>
  <c r="V61" i="6"/>
  <c r="W61"/>
  <c r="N61"/>
  <c r="O61"/>
  <c r="K61"/>
  <c r="H61"/>
  <c r="E61"/>
  <c r="L63" i="33"/>
  <c r="K63"/>
  <c r="L60" i="10"/>
  <c r="AN62" i="7"/>
  <c r="AM62"/>
  <c r="P62"/>
  <c r="L62"/>
  <c r="K62"/>
  <c r="F62"/>
  <c r="L53" i="36"/>
  <c r="J53"/>
  <c r="G53"/>
  <c r="S59" i="5"/>
  <c r="T59"/>
  <c r="P59"/>
  <c r="Q59"/>
  <c r="M59"/>
  <c r="J59"/>
  <c r="F59"/>
  <c r="H63" i="51"/>
  <c r="J63"/>
  <c r="K63"/>
  <c r="J53" i="35"/>
  <c r="G53"/>
  <c r="N67" i="3"/>
  <c r="O67"/>
  <c r="K66"/>
  <c r="L67"/>
  <c r="K67"/>
  <c r="J67"/>
  <c r="G67"/>
  <c r="D67"/>
  <c r="BI62" i="1"/>
  <c r="AW62"/>
  <c r="BY62"/>
  <c r="AP62"/>
  <c r="AO62"/>
  <c r="AN62"/>
  <c r="AM62"/>
  <c r="AI62"/>
  <c r="AE62"/>
  <c r="T62"/>
  <c r="U62"/>
  <c r="M62"/>
  <c r="O62"/>
  <c r="W62"/>
  <c r="X62"/>
  <c r="U61" i="45"/>
  <c r="Q60" i="41"/>
  <c r="R60"/>
  <c r="E59" i="40"/>
  <c r="D59"/>
  <c r="L62" i="33"/>
  <c r="K62"/>
  <c r="O60" i="6"/>
  <c r="V60"/>
  <c r="N60"/>
  <c r="K60"/>
  <c r="H60"/>
  <c r="E60"/>
  <c r="L61" i="7"/>
  <c r="F61"/>
  <c r="AN61"/>
  <c r="AM61"/>
  <c r="P61"/>
  <c r="K61"/>
  <c r="L59" i="10"/>
  <c r="S58" i="5"/>
  <c r="T58"/>
  <c r="P58"/>
  <c r="Q58"/>
  <c r="M58"/>
  <c r="J58"/>
  <c r="F58"/>
  <c r="L52" i="36"/>
  <c r="J52"/>
  <c r="G52"/>
  <c r="H62" i="51"/>
  <c r="J62"/>
  <c r="K62"/>
  <c r="H63" i="4"/>
  <c r="J52" i="35"/>
  <c r="J51"/>
  <c r="J50"/>
  <c r="G52"/>
  <c r="L52" s="1"/>
  <c r="G50"/>
  <c r="L50" s="1"/>
  <c r="G51"/>
  <c r="L66" i="3"/>
  <c r="N66"/>
  <c r="O66"/>
  <c r="J66"/>
  <c r="G66"/>
  <c r="D66"/>
  <c r="BI61" i="1"/>
  <c r="AW61"/>
  <c r="AY61"/>
  <c r="AZ61"/>
  <c r="BA61"/>
  <c r="AP61"/>
  <c r="AO61"/>
  <c r="AN61"/>
  <c r="AM61"/>
  <c r="AI61"/>
  <c r="AE61"/>
  <c r="T61"/>
  <c r="U61"/>
  <c r="M61"/>
  <c r="BD61"/>
  <c r="N29" i="3"/>
  <c r="O29"/>
  <c r="U60" i="45"/>
  <c r="L60" i="7"/>
  <c r="K60"/>
  <c r="F60"/>
  <c r="L58" i="10"/>
  <c r="Q59" i="41"/>
  <c r="R59"/>
  <c r="E58" i="40"/>
  <c r="D58"/>
  <c r="L61" i="33"/>
  <c r="K61"/>
  <c r="L39" i="2"/>
  <c r="AN60" i="7"/>
  <c r="AM60"/>
  <c r="P60"/>
  <c r="J61" i="51"/>
  <c r="K61"/>
  <c r="H61"/>
  <c r="G62" i="4"/>
  <c r="H62"/>
  <c r="N65" i="3"/>
  <c r="O65"/>
  <c r="L65"/>
  <c r="K65"/>
  <c r="J65"/>
  <c r="G65"/>
  <c r="D65"/>
  <c r="S57" i="5"/>
  <c r="T57"/>
  <c r="P57"/>
  <c r="Q57"/>
  <c r="M57"/>
  <c r="J57"/>
  <c r="F57"/>
  <c r="L51" i="36"/>
  <c r="J51"/>
  <c r="G51"/>
  <c r="BI60" i="1"/>
  <c r="AW60"/>
  <c r="AY60"/>
  <c r="AZ60"/>
  <c r="BA60"/>
  <c r="AP60"/>
  <c r="AO60"/>
  <c r="AM60"/>
  <c r="AN60"/>
  <c r="AI60"/>
  <c r="AE60"/>
  <c r="T60"/>
  <c r="U60"/>
  <c r="M60"/>
  <c r="BD60"/>
  <c r="V59" i="6"/>
  <c r="W59"/>
  <c r="N59"/>
  <c r="O59"/>
  <c r="K59"/>
  <c r="H59"/>
  <c r="E59"/>
  <c r="U59" i="45"/>
  <c r="R58" i="41"/>
  <c r="Q58"/>
  <c r="E57" i="40"/>
  <c r="D57"/>
  <c r="L57" i="10"/>
  <c r="L56"/>
  <c r="L55"/>
  <c r="AN59" i="7"/>
  <c r="AM59"/>
  <c r="P59"/>
  <c r="AO59" s="1"/>
  <c r="AP59" s="1"/>
  <c r="L58"/>
  <c r="K59"/>
  <c r="L59"/>
  <c r="F59"/>
  <c r="Q58" i="39"/>
  <c r="Q57" i="38"/>
  <c r="S57"/>
  <c r="Q57" i="37"/>
  <c r="S57"/>
  <c r="U55" i="38"/>
  <c r="U53"/>
  <c r="I63" i="50"/>
  <c r="V58" i="6"/>
  <c r="W58"/>
  <c r="N58"/>
  <c r="O58"/>
  <c r="K58"/>
  <c r="H58"/>
  <c r="E58"/>
  <c r="I61" i="50"/>
  <c r="I55"/>
  <c r="I65"/>
  <c r="I64"/>
  <c r="D63"/>
  <c r="C63"/>
  <c r="B63"/>
  <c r="I60"/>
  <c r="E65"/>
  <c r="E63"/>
  <c r="L60" i="33"/>
  <c r="K60"/>
  <c r="V57" i="39"/>
  <c r="S57"/>
  <c r="K57"/>
  <c r="I57"/>
  <c r="H57"/>
  <c r="F57"/>
  <c r="E57"/>
  <c r="D57"/>
  <c r="C57"/>
  <c r="B57"/>
  <c r="H60" i="51"/>
  <c r="J60"/>
  <c r="K60"/>
  <c r="G61" i="4"/>
  <c r="H61"/>
  <c r="L64" i="3"/>
  <c r="N64"/>
  <c r="J64"/>
  <c r="G64"/>
  <c r="D64"/>
  <c r="O64"/>
  <c r="BI59" i="1"/>
  <c r="AW59"/>
  <c r="BY59"/>
  <c r="AP59"/>
  <c r="AO59"/>
  <c r="AN59"/>
  <c r="AM59"/>
  <c r="AI59"/>
  <c r="AE59"/>
  <c r="T59"/>
  <c r="U59"/>
  <c r="M59"/>
  <c r="O59"/>
  <c r="W59"/>
  <c r="X59"/>
  <c r="J50" i="36"/>
  <c r="G50"/>
  <c r="P56" i="5"/>
  <c r="M56"/>
  <c r="J56"/>
  <c r="Q56"/>
  <c r="S56"/>
  <c r="F56"/>
  <c r="U58" i="45"/>
  <c r="R57" i="41"/>
  <c r="Q57"/>
  <c r="D56" i="40"/>
  <c r="L57" i="7"/>
  <c r="F58"/>
  <c r="AM58"/>
  <c r="AN58"/>
  <c r="P58"/>
  <c r="L59" i="33"/>
  <c r="K59"/>
  <c r="H59" i="51"/>
  <c r="J59"/>
  <c r="K59"/>
  <c r="H60" i="4"/>
  <c r="O63" i="3"/>
  <c r="N63"/>
  <c r="L63"/>
  <c r="K63"/>
  <c r="J63"/>
  <c r="G63"/>
  <c r="D63"/>
  <c r="BI58" i="1"/>
  <c r="AW58"/>
  <c r="BW58"/>
  <c r="AP58"/>
  <c r="AO58"/>
  <c r="AN58"/>
  <c r="AM58"/>
  <c r="AI58"/>
  <c r="AE58"/>
  <c r="T58"/>
  <c r="U58"/>
  <c r="M58"/>
  <c r="BD58"/>
  <c r="P55" i="5"/>
  <c r="M55"/>
  <c r="J55"/>
  <c r="Q55"/>
  <c r="S55"/>
  <c r="F55"/>
  <c r="L49" i="36"/>
  <c r="J49"/>
  <c r="G49"/>
  <c r="J49" i="35"/>
  <c r="G49"/>
  <c r="L49" s="1"/>
  <c r="W38" i="6"/>
  <c r="V38"/>
  <c r="U38"/>
  <c r="T38"/>
  <c r="S38"/>
  <c r="R38"/>
  <c r="Q38"/>
  <c r="O38"/>
  <c r="N38"/>
  <c r="M38"/>
  <c r="L38"/>
  <c r="K38"/>
  <c r="J38"/>
  <c r="I38"/>
  <c r="H38"/>
  <c r="G38"/>
  <c r="F38"/>
  <c r="E38"/>
  <c r="D38"/>
  <c r="V57"/>
  <c r="N57"/>
  <c r="K57"/>
  <c r="H57"/>
  <c r="E57"/>
  <c r="U57" i="45"/>
  <c r="Q56" i="41"/>
  <c r="R56"/>
  <c r="E55" i="40"/>
  <c r="D55"/>
  <c r="L54" i="10"/>
  <c r="K58" i="33"/>
  <c r="K57"/>
  <c r="L57"/>
  <c r="L58"/>
  <c r="L52" i="7"/>
  <c r="L53"/>
  <c r="L54"/>
  <c r="F57"/>
  <c r="AM57" i="1"/>
  <c r="K56" i="33"/>
  <c r="L56"/>
  <c r="V56" i="6"/>
  <c r="N56"/>
  <c r="K56"/>
  <c r="H56"/>
  <c r="E56"/>
  <c r="AM57" i="7"/>
  <c r="AN57"/>
  <c r="P57"/>
  <c r="AO57" s="1"/>
  <c r="AP57" s="1"/>
  <c r="H58" i="51"/>
  <c r="J58"/>
  <c r="K58"/>
  <c r="H59" i="4"/>
  <c r="J48" i="35"/>
  <c r="L48"/>
  <c r="G48"/>
  <c r="J62" i="3"/>
  <c r="G62"/>
  <c r="D62"/>
  <c r="L6" i="33"/>
  <c r="L7"/>
  <c r="L8"/>
  <c r="L9"/>
  <c r="L10"/>
  <c r="L11"/>
  <c r="L12"/>
  <c r="L13"/>
  <c r="L14"/>
  <c r="L15"/>
  <c r="L16"/>
  <c r="L17"/>
  <c r="L21"/>
  <c r="C26"/>
  <c r="D26"/>
  <c r="E26"/>
  <c r="F26"/>
  <c r="G26"/>
  <c r="H26"/>
  <c r="I26"/>
  <c r="J26"/>
  <c r="L26"/>
  <c r="M26"/>
  <c r="N26"/>
  <c r="O26"/>
  <c r="K27"/>
  <c r="K28"/>
  <c r="K29"/>
  <c r="K30"/>
  <c r="K31"/>
  <c r="K32"/>
  <c r="K33"/>
  <c r="K34"/>
  <c r="K35"/>
  <c r="K36"/>
  <c r="K37"/>
  <c r="K38"/>
  <c r="C39"/>
  <c r="D39"/>
  <c r="E39"/>
  <c r="F39"/>
  <c r="G39"/>
  <c r="H39"/>
  <c r="I39"/>
  <c r="J39"/>
  <c r="K40"/>
  <c r="L40"/>
  <c r="K41"/>
  <c r="L41"/>
  <c r="K42"/>
  <c r="L42"/>
  <c r="K53"/>
  <c r="L53"/>
  <c r="K54"/>
  <c r="L54"/>
  <c r="K55"/>
  <c r="L55"/>
  <c r="L52" s="1"/>
  <c r="C28" i="58"/>
  <c r="E28"/>
  <c r="G28"/>
  <c r="I28"/>
  <c r="K28"/>
  <c r="M28"/>
  <c r="O28"/>
  <c r="R28"/>
  <c r="T28"/>
  <c r="V28"/>
  <c r="X28"/>
  <c r="Z28"/>
  <c r="AB28"/>
  <c r="AD28"/>
  <c r="AG28"/>
  <c r="AI28"/>
  <c r="AK28"/>
  <c r="AM28"/>
  <c r="AO28"/>
  <c r="AQ28"/>
  <c r="AS28"/>
  <c r="AV28"/>
  <c r="AX28"/>
  <c r="AZ28"/>
  <c r="BB28"/>
  <c r="BD28"/>
  <c r="BF28"/>
  <c r="BH28"/>
  <c r="BK28"/>
  <c r="BM28"/>
  <c r="BO28"/>
  <c r="BQ28"/>
  <c r="BS28"/>
  <c r="BU28"/>
  <c r="BW28"/>
  <c r="T12" i="45"/>
  <c r="T15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T24"/>
  <c r="U25"/>
  <c r="U26"/>
  <c r="U27"/>
  <c r="U28"/>
  <c r="U29"/>
  <c r="U30"/>
  <c r="U31"/>
  <c r="U32"/>
  <c r="U33"/>
  <c r="U34"/>
  <c r="U35"/>
  <c r="U36"/>
  <c r="B37"/>
  <c r="C37"/>
  <c r="D37"/>
  <c r="E37"/>
  <c r="F37"/>
  <c r="G37"/>
  <c r="H37"/>
  <c r="I37"/>
  <c r="J37"/>
  <c r="K37"/>
  <c r="L37"/>
  <c r="M37"/>
  <c r="N37"/>
  <c r="O37"/>
  <c r="P37"/>
  <c r="Q37"/>
  <c r="R37"/>
  <c r="S37"/>
  <c r="T37"/>
  <c r="U38"/>
  <c r="U39"/>
  <c r="U40"/>
  <c r="U41"/>
  <c r="U42"/>
  <c r="U43"/>
  <c r="U44"/>
  <c r="U45"/>
  <c r="U46"/>
  <c r="U47"/>
  <c r="U48"/>
  <c r="U49"/>
  <c r="U51"/>
  <c r="U52"/>
  <c r="U53"/>
  <c r="U54"/>
  <c r="U55"/>
  <c r="U56"/>
  <c r="C24" i="28"/>
  <c r="E24"/>
  <c r="C37"/>
  <c r="E37"/>
  <c r="G37"/>
  <c r="W19" i="27"/>
  <c r="X21"/>
  <c r="O23"/>
  <c r="P23"/>
  <c r="Q23"/>
  <c r="R23"/>
  <c r="X23"/>
  <c r="O24"/>
  <c r="P24"/>
  <c r="Q24"/>
  <c r="R24"/>
  <c r="X24"/>
  <c r="O25"/>
  <c r="P25"/>
  <c r="Q25"/>
  <c r="R25"/>
  <c r="O26"/>
  <c r="P26"/>
  <c r="Q26"/>
  <c r="R26"/>
  <c r="Y26"/>
  <c r="Z26"/>
  <c r="AA26"/>
  <c r="AB26"/>
  <c r="O27"/>
  <c r="P27"/>
  <c r="Q27"/>
  <c r="R27"/>
  <c r="O28"/>
  <c r="P28"/>
  <c r="Q28"/>
  <c r="R28"/>
  <c r="C21" i="44"/>
  <c r="D21"/>
  <c r="E21"/>
  <c r="F21"/>
  <c r="G21"/>
  <c r="H21"/>
  <c r="C34"/>
  <c r="D34"/>
  <c r="E34"/>
  <c r="F34"/>
  <c r="G34"/>
  <c r="H34"/>
  <c r="D47"/>
  <c r="E47"/>
  <c r="B22" i="43"/>
  <c r="C22"/>
  <c r="D22"/>
  <c r="E22"/>
  <c r="F22"/>
  <c r="G22"/>
  <c r="H22"/>
  <c r="I22"/>
  <c r="J22"/>
  <c r="K22"/>
  <c r="L22"/>
  <c r="M22"/>
  <c r="O22"/>
  <c r="P22"/>
  <c r="Q22"/>
  <c r="R22"/>
  <c r="S22"/>
  <c r="T22"/>
  <c r="U22"/>
  <c r="V22"/>
  <c r="W22"/>
  <c r="X22"/>
  <c r="Y22"/>
  <c r="Z22"/>
  <c r="AB22"/>
  <c r="AC22"/>
  <c r="AD22"/>
  <c r="AE22"/>
  <c r="AF22"/>
  <c r="AG22"/>
  <c r="AH22"/>
  <c r="AI22"/>
  <c r="AJ22"/>
  <c r="AK22"/>
  <c r="AL22"/>
  <c r="AM22"/>
  <c r="B35"/>
  <c r="C35"/>
  <c r="D35"/>
  <c r="E35"/>
  <c r="F35"/>
  <c r="G35"/>
  <c r="H35"/>
  <c r="I35"/>
  <c r="J35"/>
  <c r="K35"/>
  <c r="L35"/>
  <c r="M35"/>
  <c r="O35"/>
  <c r="P35"/>
  <c r="Q35"/>
  <c r="R35"/>
  <c r="S35"/>
  <c r="T35"/>
  <c r="U35"/>
  <c r="V35"/>
  <c r="W35"/>
  <c r="X35"/>
  <c r="Y35"/>
  <c r="Z35"/>
  <c r="AB35"/>
  <c r="AC35"/>
  <c r="AD35"/>
  <c r="AE35"/>
  <c r="AF35"/>
  <c r="AG35"/>
  <c r="AH35"/>
  <c r="AI35"/>
  <c r="AJ35"/>
  <c r="AK35"/>
  <c r="AL35"/>
  <c r="AM35"/>
  <c r="R5" i="41"/>
  <c r="R6"/>
  <c r="R7"/>
  <c r="R8"/>
  <c r="R9"/>
  <c r="R10"/>
  <c r="R11"/>
  <c r="R12"/>
  <c r="R13"/>
  <c r="R14"/>
  <c r="R15"/>
  <c r="R16"/>
  <c r="R17"/>
  <c r="C23"/>
  <c r="D23"/>
  <c r="E23"/>
  <c r="F23"/>
  <c r="G23"/>
  <c r="H23"/>
  <c r="I23"/>
  <c r="J23"/>
  <c r="K23"/>
  <c r="L23"/>
  <c r="M23"/>
  <c r="N23"/>
  <c r="O23"/>
  <c r="P23"/>
  <c r="Q23"/>
  <c r="Q24"/>
  <c r="R24"/>
  <c r="Q25"/>
  <c r="R25"/>
  <c r="Q26"/>
  <c r="R26"/>
  <c r="Q27"/>
  <c r="R27"/>
  <c r="Q28"/>
  <c r="R28"/>
  <c r="Q29"/>
  <c r="R29"/>
  <c r="Q30"/>
  <c r="R30"/>
  <c r="Q31"/>
  <c r="R31"/>
  <c r="Q32"/>
  <c r="R32"/>
  <c r="Q33"/>
  <c r="R33"/>
  <c r="Q34"/>
  <c r="R34"/>
  <c r="Q35"/>
  <c r="R35"/>
  <c r="R23"/>
  <c r="C36"/>
  <c r="D36"/>
  <c r="E36"/>
  <c r="F36"/>
  <c r="G36"/>
  <c r="H36"/>
  <c r="I36"/>
  <c r="J36"/>
  <c r="K36"/>
  <c r="L36"/>
  <c r="M36"/>
  <c r="N36"/>
  <c r="O36"/>
  <c r="P36"/>
  <c r="Q36"/>
  <c r="R36"/>
  <c r="Q37"/>
  <c r="R37"/>
  <c r="Q38"/>
  <c r="R38"/>
  <c r="Q39"/>
  <c r="R39"/>
  <c r="Q40"/>
  <c r="R40"/>
  <c r="Q41"/>
  <c r="R41"/>
  <c r="Q42"/>
  <c r="R42"/>
  <c r="Q43"/>
  <c r="R43"/>
  <c r="Q44"/>
  <c r="R44"/>
  <c r="Q45"/>
  <c r="R45"/>
  <c r="Q46"/>
  <c r="R46"/>
  <c r="Q47"/>
  <c r="R47"/>
  <c r="Q48"/>
  <c r="R48"/>
  <c r="Q50"/>
  <c r="R50"/>
  <c r="Q51"/>
  <c r="R51"/>
  <c r="Q52"/>
  <c r="R52"/>
  <c r="Q53"/>
  <c r="R53"/>
  <c r="Q54"/>
  <c r="R54"/>
  <c r="Q55"/>
  <c r="R55"/>
  <c r="B22" i="40"/>
  <c r="C22"/>
  <c r="E22"/>
  <c r="D23"/>
  <c r="D24"/>
  <c r="D25"/>
  <c r="D26"/>
  <c r="D27"/>
  <c r="D28"/>
  <c r="D29"/>
  <c r="D30"/>
  <c r="D31"/>
  <c r="D32"/>
  <c r="D33"/>
  <c r="D34"/>
  <c r="D22"/>
  <c r="B35"/>
  <c r="C35"/>
  <c r="D35"/>
  <c r="E35"/>
  <c r="D36"/>
  <c r="D37"/>
  <c r="D38"/>
  <c r="D39"/>
  <c r="D40"/>
  <c r="D41"/>
  <c r="D42"/>
  <c r="D43"/>
  <c r="D44"/>
  <c r="D45"/>
  <c r="D54"/>
  <c r="E54"/>
  <c r="B31" i="39"/>
  <c r="C31"/>
  <c r="D31"/>
  <c r="E31"/>
  <c r="F31"/>
  <c r="H31"/>
  <c r="I31"/>
  <c r="K31"/>
  <c r="S31"/>
  <c r="V31"/>
  <c r="G32"/>
  <c r="J32"/>
  <c r="L32"/>
  <c r="B33"/>
  <c r="C33"/>
  <c r="D33"/>
  <c r="E33"/>
  <c r="F33"/>
  <c r="H33"/>
  <c r="I33"/>
  <c r="K33"/>
  <c r="S33"/>
  <c r="V33"/>
  <c r="G34"/>
  <c r="J34"/>
  <c r="L34"/>
  <c r="B35"/>
  <c r="C35"/>
  <c r="D35"/>
  <c r="E35"/>
  <c r="F35"/>
  <c r="H35"/>
  <c r="I35"/>
  <c r="K35"/>
  <c r="S35"/>
  <c r="V35"/>
  <c r="G36"/>
  <c r="J36"/>
  <c r="L36"/>
  <c r="B37"/>
  <c r="C37"/>
  <c r="D37"/>
  <c r="E37"/>
  <c r="F37"/>
  <c r="H37"/>
  <c r="I37"/>
  <c r="K37"/>
  <c r="S37"/>
  <c r="V37"/>
  <c r="G38"/>
  <c r="J38"/>
  <c r="L38"/>
  <c r="B39"/>
  <c r="C39"/>
  <c r="D39"/>
  <c r="E39"/>
  <c r="F39"/>
  <c r="H39"/>
  <c r="I39"/>
  <c r="K39"/>
  <c r="S39"/>
  <c r="V39"/>
  <c r="G40"/>
  <c r="J40"/>
  <c r="L40"/>
  <c r="B41"/>
  <c r="C41"/>
  <c r="D41"/>
  <c r="E41"/>
  <c r="F41"/>
  <c r="H41"/>
  <c r="I41"/>
  <c r="K41"/>
  <c r="S41"/>
  <c r="V41"/>
  <c r="G42"/>
  <c r="J42"/>
  <c r="L42"/>
  <c r="B43"/>
  <c r="C43"/>
  <c r="D43"/>
  <c r="E43"/>
  <c r="F43"/>
  <c r="H43"/>
  <c r="I43"/>
  <c r="K43"/>
  <c r="S43"/>
  <c r="V43"/>
  <c r="G44"/>
  <c r="J44"/>
  <c r="L44"/>
  <c r="B45"/>
  <c r="C45"/>
  <c r="D45"/>
  <c r="E45"/>
  <c r="F45"/>
  <c r="H45"/>
  <c r="I45"/>
  <c r="K45"/>
  <c r="S45"/>
  <c r="V45"/>
  <c r="G46"/>
  <c r="J46"/>
  <c r="L46"/>
  <c r="B47"/>
  <c r="C47"/>
  <c r="D47"/>
  <c r="E47"/>
  <c r="F47"/>
  <c r="H47"/>
  <c r="I47"/>
  <c r="K47"/>
  <c r="S47"/>
  <c r="V47"/>
  <c r="G48"/>
  <c r="J48"/>
  <c r="L48"/>
  <c r="Q48"/>
  <c r="B49"/>
  <c r="C49"/>
  <c r="D49"/>
  <c r="E49"/>
  <c r="F49"/>
  <c r="H49"/>
  <c r="I49"/>
  <c r="K49"/>
  <c r="S49"/>
  <c r="V49"/>
  <c r="G50"/>
  <c r="J50"/>
  <c r="L50"/>
  <c r="Q50"/>
  <c r="B51"/>
  <c r="C51"/>
  <c r="D51"/>
  <c r="E51"/>
  <c r="F51"/>
  <c r="H51"/>
  <c r="I51"/>
  <c r="K51"/>
  <c r="S51"/>
  <c r="V51"/>
  <c r="G52"/>
  <c r="J52"/>
  <c r="L52"/>
  <c r="Q52"/>
  <c r="B53"/>
  <c r="C53"/>
  <c r="D53"/>
  <c r="E53"/>
  <c r="F53"/>
  <c r="H53"/>
  <c r="I53"/>
  <c r="K53"/>
  <c r="S53"/>
  <c r="V53"/>
  <c r="G54"/>
  <c r="J54"/>
  <c r="L54"/>
  <c r="Q54"/>
  <c r="B55"/>
  <c r="C55"/>
  <c r="D55"/>
  <c r="E55"/>
  <c r="F55"/>
  <c r="H55"/>
  <c r="I55"/>
  <c r="K55"/>
  <c r="S55"/>
  <c r="V55"/>
  <c r="G56"/>
  <c r="J56"/>
  <c r="L56"/>
  <c r="Q56"/>
  <c r="Q5" i="38"/>
  <c r="S5"/>
  <c r="U5"/>
  <c r="B6"/>
  <c r="C6"/>
  <c r="D6"/>
  <c r="E6"/>
  <c r="F6"/>
  <c r="G6"/>
  <c r="H6"/>
  <c r="I6"/>
  <c r="J6"/>
  <c r="K6"/>
  <c r="L6"/>
  <c r="M6"/>
  <c r="N6"/>
  <c r="O6"/>
  <c r="P6"/>
  <c r="Q6"/>
  <c r="R6"/>
  <c r="S6"/>
  <c r="Q7"/>
  <c r="S7"/>
  <c r="U7"/>
  <c r="B8"/>
  <c r="C8"/>
  <c r="D8"/>
  <c r="E8"/>
  <c r="F8"/>
  <c r="G8"/>
  <c r="H8"/>
  <c r="I8"/>
  <c r="J8"/>
  <c r="K8"/>
  <c r="L8"/>
  <c r="M8"/>
  <c r="N8"/>
  <c r="O8"/>
  <c r="P8"/>
  <c r="Q8"/>
  <c r="R8"/>
  <c r="S8"/>
  <c r="Q9"/>
  <c r="S9"/>
  <c r="U9"/>
  <c r="B10"/>
  <c r="C10"/>
  <c r="D10"/>
  <c r="E10"/>
  <c r="F10"/>
  <c r="G10"/>
  <c r="H10"/>
  <c r="I10"/>
  <c r="J10"/>
  <c r="K10"/>
  <c r="L10"/>
  <c r="M10"/>
  <c r="N10"/>
  <c r="O10"/>
  <c r="P10"/>
  <c r="Q10"/>
  <c r="R10"/>
  <c r="S10"/>
  <c r="Q11"/>
  <c r="S11"/>
  <c r="U11"/>
  <c r="B12"/>
  <c r="C12"/>
  <c r="D12"/>
  <c r="E12"/>
  <c r="F12"/>
  <c r="G12"/>
  <c r="H12"/>
  <c r="I12"/>
  <c r="J12"/>
  <c r="K12"/>
  <c r="L12"/>
  <c r="M12"/>
  <c r="N12"/>
  <c r="O12"/>
  <c r="P12"/>
  <c r="Q12"/>
  <c r="R12"/>
  <c r="S12"/>
  <c r="Q13"/>
  <c r="S13"/>
  <c r="U13"/>
  <c r="B14"/>
  <c r="C14"/>
  <c r="D14"/>
  <c r="E14"/>
  <c r="F14"/>
  <c r="G14"/>
  <c r="H14"/>
  <c r="I14"/>
  <c r="J14"/>
  <c r="K14"/>
  <c r="L14"/>
  <c r="M14"/>
  <c r="N14"/>
  <c r="O14"/>
  <c r="P14"/>
  <c r="Q14"/>
  <c r="R14"/>
  <c r="S14"/>
  <c r="Q15"/>
  <c r="S15"/>
  <c r="U15"/>
  <c r="B16"/>
  <c r="C16"/>
  <c r="D16"/>
  <c r="E16"/>
  <c r="F16"/>
  <c r="G16"/>
  <c r="H16"/>
  <c r="I16"/>
  <c r="J16"/>
  <c r="K16"/>
  <c r="L16"/>
  <c r="M16"/>
  <c r="N16"/>
  <c r="O16"/>
  <c r="P16"/>
  <c r="Q16"/>
  <c r="R16"/>
  <c r="S16"/>
  <c r="Q17"/>
  <c r="S17"/>
  <c r="U17"/>
  <c r="B18"/>
  <c r="C18"/>
  <c r="D18"/>
  <c r="E18"/>
  <c r="F18"/>
  <c r="G18"/>
  <c r="H18"/>
  <c r="I18"/>
  <c r="J18"/>
  <c r="K18"/>
  <c r="L18"/>
  <c r="M18"/>
  <c r="N18"/>
  <c r="O18"/>
  <c r="P18"/>
  <c r="Q18"/>
  <c r="R18"/>
  <c r="S18"/>
  <c r="Q19"/>
  <c r="S19"/>
  <c r="U19"/>
  <c r="B20"/>
  <c r="C20"/>
  <c r="D20"/>
  <c r="E20"/>
  <c r="F20"/>
  <c r="G20"/>
  <c r="H20"/>
  <c r="I20"/>
  <c r="J20"/>
  <c r="K20"/>
  <c r="L20"/>
  <c r="M20"/>
  <c r="N20"/>
  <c r="O20"/>
  <c r="P20"/>
  <c r="Q20"/>
  <c r="R20"/>
  <c r="S20"/>
  <c r="Q21"/>
  <c r="S21"/>
  <c r="U21"/>
  <c r="B22"/>
  <c r="C22"/>
  <c r="D22"/>
  <c r="E22"/>
  <c r="F22"/>
  <c r="G22"/>
  <c r="H22"/>
  <c r="I22"/>
  <c r="J22"/>
  <c r="K22"/>
  <c r="L22"/>
  <c r="M22"/>
  <c r="N22"/>
  <c r="O22"/>
  <c r="P22"/>
  <c r="Q22"/>
  <c r="R22"/>
  <c r="S22"/>
  <c r="Q23"/>
  <c r="S23"/>
  <c r="U23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Q25"/>
  <c r="S25"/>
  <c r="U25"/>
  <c r="B26"/>
  <c r="C26"/>
  <c r="D26"/>
  <c r="E26"/>
  <c r="F26"/>
  <c r="G26"/>
  <c r="H26"/>
  <c r="I26"/>
  <c r="J26"/>
  <c r="K26"/>
  <c r="L26"/>
  <c r="M26"/>
  <c r="N26"/>
  <c r="O26"/>
  <c r="P26"/>
  <c r="Q26"/>
  <c r="R26"/>
  <c r="S26"/>
  <c r="Q27"/>
  <c r="S27"/>
  <c r="U27"/>
  <c r="B28"/>
  <c r="C28"/>
  <c r="D28"/>
  <c r="E28"/>
  <c r="F28"/>
  <c r="G28"/>
  <c r="H28"/>
  <c r="I28"/>
  <c r="J28"/>
  <c r="K28"/>
  <c r="L28"/>
  <c r="M28"/>
  <c r="N28"/>
  <c r="O28"/>
  <c r="P28"/>
  <c r="Q28"/>
  <c r="R28"/>
  <c r="S28"/>
  <c r="Q29"/>
  <c r="S29"/>
  <c r="U29"/>
  <c r="B30"/>
  <c r="C30"/>
  <c r="D30"/>
  <c r="E30"/>
  <c r="F30"/>
  <c r="G30"/>
  <c r="H30"/>
  <c r="I30"/>
  <c r="J30"/>
  <c r="K30"/>
  <c r="L30"/>
  <c r="M30"/>
  <c r="N30"/>
  <c r="O30"/>
  <c r="P30"/>
  <c r="Q30"/>
  <c r="R30"/>
  <c r="S30"/>
  <c r="Q31"/>
  <c r="S31"/>
  <c r="U31"/>
  <c r="B32"/>
  <c r="C32"/>
  <c r="D32"/>
  <c r="E32"/>
  <c r="F32"/>
  <c r="G32"/>
  <c r="H32"/>
  <c r="I32"/>
  <c r="J32"/>
  <c r="K32"/>
  <c r="L32"/>
  <c r="M32"/>
  <c r="N32"/>
  <c r="O32"/>
  <c r="P32"/>
  <c r="Q32"/>
  <c r="R32"/>
  <c r="S32"/>
  <c r="Q33"/>
  <c r="S33"/>
  <c r="U33"/>
  <c r="B34"/>
  <c r="C34"/>
  <c r="D34"/>
  <c r="E34"/>
  <c r="F34"/>
  <c r="G34"/>
  <c r="H34"/>
  <c r="I34"/>
  <c r="J34"/>
  <c r="K34"/>
  <c r="L34"/>
  <c r="M34"/>
  <c r="N34"/>
  <c r="O34"/>
  <c r="P34"/>
  <c r="Q34"/>
  <c r="R34"/>
  <c r="S34"/>
  <c r="Q35"/>
  <c r="S35"/>
  <c r="U35"/>
  <c r="B36"/>
  <c r="C36"/>
  <c r="D36"/>
  <c r="E36"/>
  <c r="F36"/>
  <c r="G36"/>
  <c r="H36"/>
  <c r="I36"/>
  <c r="J36"/>
  <c r="K36"/>
  <c r="L36"/>
  <c r="M36"/>
  <c r="N36"/>
  <c r="O36"/>
  <c r="P36"/>
  <c r="Q36"/>
  <c r="R36"/>
  <c r="S36"/>
  <c r="Q37"/>
  <c r="S37"/>
  <c r="U37"/>
  <c r="B38"/>
  <c r="C38"/>
  <c r="D38"/>
  <c r="E38"/>
  <c r="F38"/>
  <c r="G38"/>
  <c r="H38"/>
  <c r="I38"/>
  <c r="J38"/>
  <c r="K38"/>
  <c r="L38"/>
  <c r="M38"/>
  <c r="N38"/>
  <c r="O38"/>
  <c r="P38"/>
  <c r="Q38"/>
  <c r="R38"/>
  <c r="S38"/>
  <c r="Q39"/>
  <c r="S39"/>
  <c r="U39"/>
  <c r="B40"/>
  <c r="C40"/>
  <c r="D40"/>
  <c r="E40"/>
  <c r="F40"/>
  <c r="G40"/>
  <c r="H40"/>
  <c r="I40"/>
  <c r="J40"/>
  <c r="K40"/>
  <c r="L40"/>
  <c r="M40"/>
  <c r="N40"/>
  <c r="O40"/>
  <c r="P40"/>
  <c r="Q40"/>
  <c r="R40"/>
  <c r="S40"/>
  <c r="Q41"/>
  <c r="S41"/>
  <c r="U41"/>
  <c r="B42"/>
  <c r="C42"/>
  <c r="D42"/>
  <c r="E42"/>
  <c r="F42"/>
  <c r="G42"/>
  <c r="H42"/>
  <c r="I42"/>
  <c r="J42"/>
  <c r="K42"/>
  <c r="L42"/>
  <c r="M42"/>
  <c r="N42"/>
  <c r="O42"/>
  <c r="P42"/>
  <c r="Q42"/>
  <c r="R42"/>
  <c r="S42"/>
  <c r="Q43"/>
  <c r="S43"/>
  <c r="U43"/>
  <c r="B44"/>
  <c r="C44"/>
  <c r="D44"/>
  <c r="E44"/>
  <c r="F44"/>
  <c r="G44"/>
  <c r="H44"/>
  <c r="I44"/>
  <c r="J44"/>
  <c r="K44"/>
  <c r="L44"/>
  <c r="M44"/>
  <c r="N44"/>
  <c r="O44"/>
  <c r="P44"/>
  <c r="Q44"/>
  <c r="R44"/>
  <c r="S44"/>
  <c r="Q45"/>
  <c r="S45"/>
  <c r="U45"/>
  <c r="B46"/>
  <c r="C46"/>
  <c r="D46"/>
  <c r="E46"/>
  <c r="F46"/>
  <c r="G46"/>
  <c r="H46"/>
  <c r="I46"/>
  <c r="J46"/>
  <c r="K46"/>
  <c r="L46"/>
  <c r="M46"/>
  <c r="N46"/>
  <c r="O46"/>
  <c r="P46"/>
  <c r="Q46"/>
  <c r="R46"/>
  <c r="S46"/>
  <c r="Q47"/>
  <c r="S47"/>
  <c r="U47"/>
  <c r="B48"/>
  <c r="C48"/>
  <c r="D48"/>
  <c r="E48"/>
  <c r="F48"/>
  <c r="G48"/>
  <c r="H48"/>
  <c r="I48"/>
  <c r="J48"/>
  <c r="K48"/>
  <c r="L48"/>
  <c r="M48"/>
  <c r="N48"/>
  <c r="O48"/>
  <c r="P48"/>
  <c r="Q48"/>
  <c r="R48"/>
  <c r="S48"/>
  <c r="Q49"/>
  <c r="S49"/>
  <c r="U49"/>
  <c r="B50"/>
  <c r="C50"/>
  <c r="D50"/>
  <c r="E50"/>
  <c r="F50"/>
  <c r="G50"/>
  <c r="H50"/>
  <c r="I50"/>
  <c r="J50"/>
  <c r="K50"/>
  <c r="L50"/>
  <c r="M50"/>
  <c r="N50"/>
  <c r="O50"/>
  <c r="P50"/>
  <c r="Q50"/>
  <c r="R50"/>
  <c r="S50"/>
  <c r="Q51"/>
  <c r="S51"/>
  <c r="U51"/>
  <c r="B52"/>
  <c r="C52"/>
  <c r="D52"/>
  <c r="E52"/>
  <c r="F52"/>
  <c r="G52"/>
  <c r="H52"/>
  <c r="I52"/>
  <c r="J52"/>
  <c r="K52"/>
  <c r="L52"/>
  <c r="M52"/>
  <c r="N52"/>
  <c r="O52"/>
  <c r="P52"/>
  <c r="Q52"/>
  <c r="R52"/>
  <c r="S52"/>
  <c r="Q53"/>
  <c r="S53"/>
  <c r="B54"/>
  <c r="C54"/>
  <c r="D54"/>
  <c r="E54"/>
  <c r="F54"/>
  <c r="G54"/>
  <c r="H54"/>
  <c r="I54"/>
  <c r="J54"/>
  <c r="K54"/>
  <c r="L54"/>
  <c r="M54"/>
  <c r="N54"/>
  <c r="O54"/>
  <c r="P54"/>
  <c r="Q54"/>
  <c r="R54"/>
  <c r="S54"/>
  <c r="Q55"/>
  <c r="Q5" i="37"/>
  <c r="U5"/>
  <c r="B6"/>
  <c r="C6"/>
  <c r="D6"/>
  <c r="E6"/>
  <c r="F6"/>
  <c r="G6"/>
  <c r="H6"/>
  <c r="I6"/>
  <c r="J6"/>
  <c r="K6"/>
  <c r="L6"/>
  <c r="M6"/>
  <c r="N6"/>
  <c r="O6"/>
  <c r="P6"/>
  <c r="Q6"/>
  <c r="R6"/>
  <c r="S6"/>
  <c r="Q7"/>
  <c r="U7"/>
  <c r="B8"/>
  <c r="C8"/>
  <c r="D8"/>
  <c r="E8"/>
  <c r="F8"/>
  <c r="G8"/>
  <c r="H8"/>
  <c r="I8"/>
  <c r="J8"/>
  <c r="K8"/>
  <c r="L8"/>
  <c r="M8"/>
  <c r="N8"/>
  <c r="O8"/>
  <c r="P8"/>
  <c r="Q8"/>
  <c r="R8"/>
  <c r="S8"/>
  <c r="Q9"/>
  <c r="U9"/>
  <c r="B10"/>
  <c r="C10"/>
  <c r="D10"/>
  <c r="E10"/>
  <c r="F10"/>
  <c r="G10"/>
  <c r="H10"/>
  <c r="I10"/>
  <c r="J10"/>
  <c r="K10"/>
  <c r="L10"/>
  <c r="M10"/>
  <c r="N10"/>
  <c r="O10"/>
  <c r="P10"/>
  <c r="Q10"/>
  <c r="R10"/>
  <c r="S10"/>
  <c r="Q11"/>
  <c r="U11"/>
  <c r="B12"/>
  <c r="C12"/>
  <c r="D12"/>
  <c r="E12"/>
  <c r="F12"/>
  <c r="G12"/>
  <c r="H12"/>
  <c r="I12"/>
  <c r="J12"/>
  <c r="K12"/>
  <c r="L12"/>
  <c r="M12"/>
  <c r="N12"/>
  <c r="O12"/>
  <c r="P12"/>
  <c r="Q12"/>
  <c r="R12"/>
  <c r="S12"/>
  <c r="Q13"/>
  <c r="U13"/>
  <c r="B14"/>
  <c r="C14"/>
  <c r="D14"/>
  <c r="E14"/>
  <c r="F14"/>
  <c r="G14"/>
  <c r="H14"/>
  <c r="I14"/>
  <c r="J14"/>
  <c r="K14"/>
  <c r="L14"/>
  <c r="M14"/>
  <c r="N14"/>
  <c r="O14"/>
  <c r="P14"/>
  <c r="Q14"/>
  <c r="R14"/>
  <c r="S14"/>
  <c r="Q15"/>
  <c r="U15"/>
  <c r="B16"/>
  <c r="C16"/>
  <c r="D16"/>
  <c r="E16"/>
  <c r="F16"/>
  <c r="G16"/>
  <c r="H16"/>
  <c r="I16"/>
  <c r="J16"/>
  <c r="K16"/>
  <c r="L16"/>
  <c r="M16"/>
  <c r="N16"/>
  <c r="O16"/>
  <c r="P16"/>
  <c r="Q16"/>
  <c r="R16"/>
  <c r="S16"/>
  <c r="Q17"/>
  <c r="U17"/>
  <c r="B18"/>
  <c r="C18"/>
  <c r="D18"/>
  <c r="E18"/>
  <c r="F18"/>
  <c r="G18"/>
  <c r="H18"/>
  <c r="I18"/>
  <c r="J18"/>
  <c r="K18"/>
  <c r="L18"/>
  <c r="M18"/>
  <c r="N18"/>
  <c r="O18"/>
  <c r="P18"/>
  <c r="Q18"/>
  <c r="R18"/>
  <c r="S18"/>
  <c r="Q19"/>
  <c r="U19"/>
  <c r="B20"/>
  <c r="C20"/>
  <c r="D20"/>
  <c r="E20"/>
  <c r="F20"/>
  <c r="G20"/>
  <c r="H20"/>
  <c r="I20"/>
  <c r="J20"/>
  <c r="K20"/>
  <c r="L20"/>
  <c r="M20"/>
  <c r="N20"/>
  <c r="O20"/>
  <c r="P20"/>
  <c r="Q20"/>
  <c r="R20"/>
  <c r="S20"/>
  <c r="Q21"/>
  <c r="U21"/>
  <c r="B22"/>
  <c r="C22"/>
  <c r="D22"/>
  <c r="E22"/>
  <c r="F22"/>
  <c r="G22"/>
  <c r="H22"/>
  <c r="I22"/>
  <c r="J22"/>
  <c r="K22"/>
  <c r="L22"/>
  <c r="M22"/>
  <c r="N22"/>
  <c r="O22"/>
  <c r="P22"/>
  <c r="Q22"/>
  <c r="R22"/>
  <c r="S22"/>
  <c r="Q23"/>
  <c r="B24"/>
  <c r="C24"/>
  <c r="D24"/>
  <c r="E24"/>
  <c r="F24"/>
  <c r="G24"/>
  <c r="H24"/>
  <c r="I24"/>
  <c r="J24"/>
  <c r="K24"/>
  <c r="L24"/>
  <c r="M24"/>
  <c r="N24"/>
  <c r="O24"/>
  <c r="P24"/>
  <c r="Q24"/>
  <c r="R24"/>
  <c r="S24"/>
  <c r="Q25"/>
  <c r="U25"/>
  <c r="B26"/>
  <c r="C26"/>
  <c r="D26"/>
  <c r="E26"/>
  <c r="F26"/>
  <c r="G26"/>
  <c r="H26"/>
  <c r="I26"/>
  <c r="J26"/>
  <c r="K26"/>
  <c r="L26"/>
  <c r="M26"/>
  <c r="N26"/>
  <c r="O26"/>
  <c r="P26"/>
  <c r="Q26"/>
  <c r="R26"/>
  <c r="S26"/>
  <c r="Q27"/>
  <c r="R27"/>
  <c r="U27"/>
  <c r="B28"/>
  <c r="C28"/>
  <c r="D28"/>
  <c r="E28"/>
  <c r="F28"/>
  <c r="G28"/>
  <c r="H28"/>
  <c r="I28"/>
  <c r="J28"/>
  <c r="K28"/>
  <c r="L28"/>
  <c r="M28"/>
  <c r="N28"/>
  <c r="O28"/>
  <c r="P28"/>
  <c r="Q28"/>
  <c r="R28"/>
  <c r="S28"/>
  <c r="Q29"/>
  <c r="S29"/>
  <c r="U29"/>
  <c r="B30"/>
  <c r="C30"/>
  <c r="D30"/>
  <c r="E30"/>
  <c r="F30"/>
  <c r="G30"/>
  <c r="H30"/>
  <c r="I30"/>
  <c r="J30"/>
  <c r="K30"/>
  <c r="L30"/>
  <c r="M30"/>
  <c r="N30"/>
  <c r="O30"/>
  <c r="P30"/>
  <c r="Q30"/>
  <c r="R30"/>
  <c r="S30"/>
  <c r="Q31"/>
  <c r="S31"/>
  <c r="U31"/>
  <c r="B32"/>
  <c r="C32"/>
  <c r="D32"/>
  <c r="E32"/>
  <c r="F32"/>
  <c r="G32"/>
  <c r="H32"/>
  <c r="I32"/>
  <c r="J32"/>
  <c r="K32"/>
  <c r="L32"/>
  <c r="M32"/>
  <c r="N32"/>
  <c r="O32"/>
  <c r="P32"/>
  <c r="Q32"/>
  <c r="R32"/>
  <c r="S32"/>
  <c r="Q33"/>
  <c r="S33"/>
  <c r="U33"/>
  <c r="B34"/>
  <c r="C34"/>
  <c r="D34"/>
  <c r="E34"/>
  <c r="F34"/>
  <c r="G34"/>
  <c r="H34"/>
  <c r="I34"/>
  <c r="J34"/>
  <c r="K34"/>
  <c r="L34"/>
  <c r="M34"/>
  <c r="N34"/>
  <c r="O34"/>
  <c r="P34"/>
  <c r="Q34"/>
  <c r="R34"/>
  <c r="S34"/>
  <c r="Q35"/>
  <c r="S35"/>
  <c r="U35"/>
  <c r="B36"/>
  <c r="C36"/>
  <c r="D36"/>
  <c r="E36"/>
  <c r="F36"/>
  <c r="G36"/>
  <c r="H36"/>
  <c r="I36"/>
  <c r="J36"/>
  <c r="K36"/>
  <c r="L36"/>
  <c r="M36"/>
  <c r="N36"/>
  <c r="O36"/>
  <c r="P36"/>
  <c r="Q36"/>
  <c r="R36"/>
  <c r="S36"/>
  <c r="Q37"/>
  <c r="S37"/>
  <c r="U37"/>
  <c r="B38"/>
  <c r="C38"/>
  <c r="D38"/>
  <c r="E38"/>
  <c r="F38"/>
  <c r="G38"/>
  <c r="H38"/>
  <c r="I38"/>
  <c r="J38"/>
  <c r="K38"/>
  <c r="L38"/>
  <c r="M38"/>
  <c r="N38"/>
  <c r="O38"/>
  <c r="P38"/>
  <c r="Q38"/>
  <c r="R38"/>
  <c r="S38"/>
  <c r="Q39"/>
  <c r="S39"/>
  <c r="U39"/>
  <c r="B40"/>
  <c r="C40"/>
  <c r="D40"/>
  <c r="E40"/>
  <c r="F40"/>
  <c r="G40"/>
  <c r="H40"/>
  <c r="I40"/>
  <c r="J40"/>
  <c r="K40"/>
  <c r="L40"/>
  <c r="M40"/>
  <c r="N40"/>
  <c r="O40"/>
  <c r="P40"/>
  <c r="Q40"/>
  <c r="R40"/>
  <c r="S40"/>
  <c r="Q41"/>
  <c r="S41"/>
  <c r="U41"/>
  <c r="B42"/>
  <c r="C42"/>
  <c r="D42"/>
  <c r="E42"/>
  <c r="F42"/>
  <c r="G42"/>
  <c r="H42"/>
  <c r="I42"/>
  <c r="J42"/>
  <c r="K42"/>
  <c r="L42"/>
  <c r="M42"/>
  <c r="N42"/>
  <c r="O42"/>
  <c r="P42"/>
  <c r="Q42"/>
  <c r="R42"/>
  <c r="S42"/>
  <c r="Q43"/>
  <c r="S43"/>
  <c r="U43"/>
  <c r="B44"/>
  <c r="C44"/>
  <c r="D44"/>
  <c r="E44"/>
  <c r="F44"/>
  <c r="G44"/>
  <c r="H44"/>
  <c r="I44"/>
  <c r="J44"/>
  <c r="K44"/>
  <c r="L44"/>
  <c r="M44"/>
  <c r="N44"/>
  <c r="O44"/>
  <c r="P44"/>
  <c r="Q44"/>
  <c r="R44"/>
  <c r="S44"/>
  <c r="Q45"/>
  <c r="S45"/>
  <c r="U45"/>
  <c r="B46"/>
  <c r="C46"/>
  <c r="D46"/>
  <c r="E46"/>
  <c r="F46"/>
  <c r="G46"/>
  <c r="H46"/>
  <c r="I46"/>
  <c r="J46"/>
  <c r="K46"/>
  <c r="L46"/>
  <c r="M46"/>
  <c r="N46"/>
  <c r="O46"/>
  <c r="P46"/>
  <c r="Q46"/>
  <c r="R46"/>
  <c r="S46"/>
  <c r="Q47"/>
  <c r="S47"/>
  <c r="U47"/>
  <c r="B48"/>
  <c r="C48"/>
  <c r="D48"/>
  <c r="E48"/>
  <c r="F48"/>
  <c r="G48"/>
  <c r="H48"/>
  <c r="I48"/>
  <c r="J48"/>
  <c r="K48"/>
  <c r="L48"/>
  <c r="M48"/>
  <c r="N48"/>
  <c r="O48"/>
  <c r="P48"/>
  <c r="Q48"/>
  <c r="R48"/>
  <c r="S48"/>
  <c r="Q49"/>
  <c r="S49"/>
  <c r="U49"/>
  <c r="B50"/>
  <c r="C50"/>
  <c r="D50"/>
  <c r="E50"/>
  <c r="F50"/>
  <c r="G50"/>
  <c r="H50"/>
  <c r="I50"/>
  <c r="J50"/>
  <c r="K50"/>
  <c r="L50"/>
  <c r="M50"/>
  <c r="N50"/>
  <c r="O50"/>
  <c r="P50"/>
  <c r="Q50"/>
  <c r="R50"/>
  <c r="S50"/>
  <c r="Q51"/>
  <c r="S51"/>
  <c r="U51"/>
  <c r="B52"/>
  <c r="C52"/>
  <c r="D52"/>
  <c r="E52"/>
  <c r="F52"/>
  <c r="G52"/>
  <c r="H52"/>
  <c r="I52"/>
  <c r="J52"/>
  <c r="K52"/>
  <c r="L52"/>
  <c r="M52"/>
  <c r="N52"/>
  <c r="O52"/>
  <c r="P52"/>
  <c r="Q52"/>
  <c r="R52"/>
  <c r="S52"/>
  <c r="Q53"/>
  <c r="S53"/>
  <c r="U53"/>
  <c r="B54"/>
  <c r="C54"/>
  <c r="D54"/>
  <c r="E54"/>
  <c r="F54"/>
  <c r="G54"/>
  <c r="H54"/>
  <c r="I54"/>
  <c r="J54"/>
  <c r="K54"/>
  <c r="L54"/>
  <c r="M54"/>
  <c r="N54"/>
  <c r="O54"/>
  <c r="P54"/>
  <c r="Q54"/>
  <c r="R54"/>
  <c r="S54"/>
  <c r="Q55"/>
  <c r="S55"/>
  <c r="C26" i="13"/>
  <c r="D26"/>
  <c r="E26"/>
  <c r="F26"/>
  <c r="G26"/>
  <c r="H26"/>
  <c r="I26"/>
  <c r="C39"/>
  <c r="D39"/>
  <c r="E39"/>
  <c r="F39"/>
  <c r="H39"/>
  <c r="I39"/>
  <c r="B37" i="11"/>
  <c r="C37"/>
  <c r="D37"/>
  <c r="E37"/>
  <c r="F37"/>
  <c r="G37"/>
  <c r="H37"/>
  <c r="I37"/>
  <c r="J37"/>
  <c r="K37"/>
  <c r="L37"/>
  <c r="M37"/>
  <c r="N37"/>
  <c r="O37"/>
  <c r="P37"/>
  <c r="Q37"/>
  <c r="D24" i="10"/>
  <c r="E24"/>
  <c r="G24"/>
  <c r="H24"/>
  <c r="I24"/>
  <c r="K24"/>
  <c r="N24"/>
  <c r="P24"/>
  <c r="L25"/>
  <c r="L24"/>
  <c r="L26"/>
  <c r="L27"/>
  <c r="L28"/>
  <c r="L29"/>
  <c r="C30"/>
  <c r="C24"/>
  <c r="L30"/>
  <c r="C31"/>
  <c r="L31"/>
  <c r="C32"/>
  <c r="L32"/>
  <c r="C33"/>
  <c r="L33"/>
  <c r="C34"/>
  <c r="L34"/>
  <c r="C35"/>
  <c r="L35"/>
  <c r="C36"/>
  <c r="L36"/>
  <c r="D37"/>
  <c r="E37"/>
  <c r="G37"/>
  <c r="H37"/>
  <c r="I37"/>
  <c r="K37"/>
  <c r="N37"/>
  <c r="P37"/>
  <c r="C38"/>
  <c r="L38"/>
  <c r="C39"/>
  <c r="C37"/>
  <c r="L39"/>
  <c r="L37"/>
  <c r="C40"/>
  <c r="L40"/>
  <c r="C41"/>
  <c r="L41"/>
  <c r="C42"/>
  <c r="L42"/>
  <c r="C43"/>
  <c r="L43"/>
  <c r="L44"/>
  <c r="L45"/>
  <c r="L46"/>
  <c r="L47"/>
  <c r="L48"/>
  <c r="L49"/>
  <c r="L51"/>
  <c r="L50"/>
  <c r="L52"/>
  <c r="L53"/>
  <c r="L7" i="7"/>
  <c r="P7"/>
  <c r="AO7" s="1"/>
  <c r="L8"/>
  <c r="P8"/>
  <c r="AO8" s="1"/>
  <c r="L9"/>
  <c r="P9"/>
  <c r="AO9" s="1"/>
  <c r="L10"/>
  <c r="P10"/>
  <c r="AO10" s="1"/>
  <c r="L11"/>
  <c r="P11"/>
  <c r="AO11" s="1"/>
  <c r="L12"/>
  <c r="P12"/>
  <c r="AO12" s="1"/>
  <c r="L13"/>
  <c r="P13"/>
  <c r="AO13" s="1"/>
  <c r="AP13" s="1"/>
  <c r="L14"/>
  <c r="P14"/>
  <c r="AO14" s="1"/>
  <c r="L15"/>
  <c r="AP15" s="1"/>
  <c r="P15"/>
  <c r="AO15" s="1"/>
  <c r="L16"/>
  <c r="P16"/>
  <c r="AO16" s="1"/>
  <c r="AP16" s="1"/>
  <c r="L17"/>
  <c r="P17"/>
  <c r="AO17" s="1"/>
  <c r="B25"/>
  <c r="C25"/>
  <c r="D25"/>
  <c r="E25"/>
  <c r="G25"/>
  <c r="H25"/>
  <c r="I25"/>
  <c r="J25"/>
  <c r="M25"/>
  <c r="O25"/>
  <c r="Q25"/>
  <c r="R25"/>
  <c r="S25"/>
  <c r="T25"/>
  <c r="U25"/>
  <c r="X25"/>
  <c r="Y25"/>
  <c r="Z25"/>
  <c r="AA25"/>
  <c r="AB25"/>
  <c r="AC25"/>
  <c r="AD25"/>
  <c r="AE25"/>
  <c r="AF25"/>
  <c r="AG25"/>
  <c r="AH25"/>
  <c r="AI25"/>
  <c r="AJ25"/>
  <c r="AK25"/>
  <c r="AL25"/>
  <c r="F26"/>
  <c r="L26"/>
  <c r="K26"/>
  <c r="P26"/>
  <c r="AM26"/>
  <c r="AN26"/>
  <c r="F27"/>
  <c r="K27"/>
  <c r="L27"/>
  <c r="P27"/>
  <c r="AM27"/>
  <c r="AN27"/>
  <c r="AO27" s="1"/>
  <c r="AP27" s="1"/>
  <c r="F28"/>
  <c r="K28"/>
  <c r="L28"/>
  <c r="P28"/>
  <c r="AO28" s="1"/>
  <c r="AP28" s="1"/>
  <c r="AM28"/>
  <c r="AN28"/>
  <c r="AN25" s="1"/>
  <c r="F29"/>
  <c r="L29"/>
  <c r="P29"/>
  <c r="AM29"/>
  <c r="AN29"/>
  <c r="AO29" s="1"/>
  <c r="AP29" s="1"/>
  <c r="F30"/>
  <c r="L30"/>
  <c r="K30"/>
  <c r="P30"/>
  <c r="AO30" s="1"/>
  <c r="AP30" s="1"/>
  <c r="AM30"/>
  <c r="AN30"/>
  <c r="F31"/>
  <c r="L31"/>
  <c r="K31"/>
  <c r="P31"/>
  <c r="AM31"/>
  <c r="AN31"/>
  <c r="F32"/>
  <c r="L32"/>
  <c r="K32"/>
  <c r="P32"/>
  <c r="AM32"/>
  <c r="AN32"/>
  <c r="F33"/>
  <c r="L33"/>
  <c r="K33"/>
  <c r="P33"/>
  <c r="AM33"/>
  <c r="AN33"/>
  <c r="F34"/>
  <c r="L34"/>
  <c r="P34"/>
  <c r="AO34" s="1"/>
  <c r="AP34" s="1"/>
  <c r="AM34"/>
  <c r="AN34"/>
  <c r="F35"/>
  <c r="L35"/>
  <c r="P35"/>
  <c r="AM35"/>
  <c r="AN35"/>
  <c r="F36"/>
  <c r="L36"/>
  <c r="P36"/>
  <c r="AM36"/>
  <c r="AN36"/>
  <c r="F37"/>
  <c r="K37"/>
  <c r="L37"/>
  <c r="P37"/>
  <c r="AM37"/>
  <c r="AN37"/>
  <c r="AO37"/>
  <c r="AP37" s="1"/>
  <c r="B38"/>
  <c r="C38"/>
  <c r="D38"/>
  <c r="E38"/>
  <c r="G38"/>
  <c r="H38"/>
  <c r="I38"/>
  <c r="J38"/>
  <c r="M38"/>
  <c r="O38"/>
  <c r="Q38"/>
  <c r="R38"/>
  <c r="S38"/>
  <c r="T38"/>
  <c r="U38"/>
  <c r="X38"/>
  <c r="Y38"/>
  <c r="Z38"/>
  <c r="AA38"/>
  <c r="AB38"/>
  <c r="AC38"/>
  <c r="AD38"/>
  <c r="AE38"/>
  <c r="AF38"/>
  <c r="AG38"/>
  <c r="AH38"/>
  <c r="AI38"/>
  <c r="AJ38"/>
  <c r="AK38"/>
  <c r="AL38"/>
  <c r="F39"/>
  <c r="L39"/>
  <c r="K39"/>
  <c r="P39"/>
  <c r="AM39"/>
  <c r="F40"/>
  <c r="L40"/>
  <c r="K40"/>
  <c r="P40"/>
  <c r="AM40"/>
  <c r="AN40"/>
  <c r="F41"/>
  <c r="L41"/>
  <c r="K41"/>
  <c r="P41"/>
  <c r="AM41"/>
  <c r="AN41"/>
  <c r="F42"/>
  <c r="L42"/>
  <c r="P42"/>
  <c r="AM42"/>
  <c r="AN42"/>
  <c r="AO42" s="1"/>
  <c r="AP42" s="1"/>
  <c r="F43"/>
  <c r="L43"/>
  <c r="P43"/>
  <c r="AM43"/>
  <c r="AN43"/>
  <c r="AO43" s="1"/>
  <c r="AP43" s="1"/>
  <c r="F44"/>
  <c r="L44"/>
  <c r="P44"/>
  <c r="AO44" s="1"/>
  <c r="AP44" s="1"/>
  <c r="AM44"/>
  <c r="AN44"/>
  <c r="F45"/>
  <c r="L45"/>
  <c r="P45"/>
  <c r="AM45"/>
  <c r="AN45"/>
  <c r="F46"/>
  <c r="L46"/>
  <c r="K46"/>
  <c r="P46"/>
  <c r="AM46"/>
  <c r="AN46"/>
  <c r="F47"/>
  <c r="L47"/>
  <c r="P47"/>
  <c r="AO47" s="1"/>
  <c r="AP47" s="1"/>
  <c r="AM47"/>
  <c r="AN47"/>
  <c r="F48"/>
  <c r="L48"/>
  <c r="K48"/>
  <c r="P48"/>
  <c r="AM48"/>
  <c r="AN48"/>
  <c r="F49"/>
  <c r="L49"/>
  <c r="K49"/>
  <c r="P49"/>
  <c r="AM49"/>
  <c r="AN49"/>
  <c r="F50"/>
  <c r="K50"/>
  <c r="L50"/>
  <c r="P50"/>
  <c r="AM50"/>
  <c r="AN50"/>
  <c r="F52"/>
  <c r="K52"/>
  <c r="P52"/>
  <c r="AM52"/>
  <c r="AN52"/>
  <c r="F53"/>
  <c r="K53"/>
  <c r="P53"/>
  <c r="AO53" s="1"/>
  <c r="AP53" s="1"/>
  <c r="AM53"/>
  <c r="AN53"/>
  <c r="F54"/>
  <c r="P54"/>
  <c r="AM54"/>
  <c r="AN54"/>
  <c r="F55"/>
  <c r="L55"/>
  <c r="P55"/>
  <c r="AM55"/>
  <c r="AN55"/>
  <c r="AO55" s="1"/>
  <c r="AP55" s="1"/>
  <c r="F56"/>
  <c r="L56"/>
  <c r="K56"/>
  <c r="P56"/>
  <c r="AO56" s="1"/>
  <c r="AP56" s="1"/>
  <c r="AM56"/>
  <c r="AN56"/>
  <c r="I8" i="50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B38"/>
  <c r="C38"/>
  <c r="D38"/>
  <c r="F38"/>
  <c r="G38"/>
  <c r="H38"/>
  <c r="I38"/>
  <c r="E39"/>
  <c r="E38"/>
  <c r="I39"/>
  <c r="E40"/>
  <c r="I40"/>
  <c r="B41"/>
  <c r="C41"/>
  <c r="D41"/>
  <c r="E41"/>
  <c r="F41"/>
  <c r="G41"/>
  <c r="H41"/>
  <c r="I41"/>
  <c r="E42"/>
  <c r="I42"/>
  <c r="E43"/>
  <c r="I43"/>
  <c r="B44"/>
  <c r="C44"/>
  <c r="D44"/>
  <c r="F44"/>
  <c r="G44"/>
  <c r="H44"/>
  <c r="I44"/>
  <c r="E45"/>
  <c r="E44"/>
  <c r="I45"/>
  <c r="E46"/>
  <c r="I46"/>
  <c r="B47"/>
  <c r="C47"/>
  <c r="D47"/>
  <c r="E47"/>
  <c r="F47"/>
  <c r="I47"/>
  <c r="G47"/>
  <c r="H47"/>
  <c r="E48"/>
  <c r="I48"/>
  <c r="E49"/>
  <c r="I49"/>
  <c r="B50"/>
  <c r="C50"/>
  <c r="D50"/>
  <c r="F50"/>
  <c r="G50"/>
  <c r="H50"/>
  <c r="I50"/>
  <c r="E51"/>
  <c r="E50"/>
  <c r="I51"/>
  <c r="B52"/>
  <c r="C52"/>
  <c r="D52"/>
  <c r="I52"/>
  <c r="E53"/>
  <c r="E52"/>
  <c r="I53"/>
  <c r="E54"/>
  <c r="I54"/>
  <c r="F55"/>
  <c r="G55"/>
  <c r="H55"/>
  <c r="B56"/>
  <c r="C56"/>
  <c r="C55"/>
  <c r="D56"/>
  <c r="D55"/>
  <c r="I56"/>
  <c r="E57"/>
  <c r="E56"/>
  <c r="I57"/>
  <c r="E58"/>
  <c r="I58"/>
  <c r="B59"/>
  <c r="B55"/>
  <c r="C59"/>
  <c r="D59"/>
  <c r="I59"/>
  <c r="E60"/>
  <c r="E59"/>
  <c r="E61"/>
  <c r="E64"/>
  <c r="E6" i="6"/>
  <c r="O6"/>
  <c r="W6"/>
  <c r="H6"/>
  <c r="K6"/>
  <c r="L6"/>
  <c r="V6"/>
  <c r="E7"/>
  <c r="O7" s="1"/>
  <c r="W7" s="1"/>
  <c r="H7"/>
  <c r="K7"/>
  <c r="L7"/>
  <c r="V7"/>
  <c r="E8"/>
  <c r="O8"/>
  <c r="W8"/>
  <c r="H8"/>
  <c r="K8"/>
  <c r="L8"/>
  <c r="V8"/>
  <c r="E9"/>
  <c r="H9"/>
  <c r="O9"/>
  <c r="W9"/>
  <c r="K9"/>
  <c r="L9"/>
  <c r="V9"/>
  <c r="E10"/>
  <c r="H10"/>
  <c r="K10"/>
  <c r="L10"/>
  <c r="O10"/>
  <c r="W10"/>
  <c r="V10"/>
  <c r="E11"/>
  <c r="H11"/>
  <c r="K11"/>
  <c r="L11"/>
  <c r="O11"/>
  <c r="V11"/>
  <c r="W11"/>
  <c r="E12"/>
  <c r="H12"/>
  <c r="K12"/>
  <c r="L12"/>
  <c r="O12"/>
  <c r="V12"/>
  <c r="W12"/>
  <c r="K13"/>
  <c r="L13"/>
  <c r="O13"/>
  <c r="W13"/>
  <c r="V13"/>
  <c r="E14"/>
  <c r="H14"/>
  <c r="K14"/>
  <c r="L14"/>
  <c r="O14"/>
  <c r="W14"/>
  <c r="V14"/>
  <c r="E15"/>
  <c r="H15"/>
  <c r="K15"/>
  <c r="L15"/>
  <c r="O15"/>
  <c r="W15"/>
  <c r="V15"/>
  <c r="V16"/>
  <c r="W16"/>
  <c r="V17"/>
  <c r="W17"/>
  <c r="C18"/>
  <c r="D18"/>
  <c r="F18"/>
  <c r="G18"/>
  <c r="I18"/>
  <c r="J18"/>
  <c r="K18"/>
  <c r="L18"/>
  <c r="M18"/>
  <c r="Q18"/>
  <c r="R18"/>
  <c r="S18"/>
  <c r="T18"/>
  <c r="V18"/>
  <c r="U18"/>
  <c r="E19"/>
  <c r="E18"/>
  <c r="H19"/>
  <c r="H18"/>
  <c r="K19"/>
  <c r="N19"/>
  <c r="O19"/>
  <c r="W19"/>
  <c r="V19"/>
  <c r="E20"/>
  <c r="O20"/>
  <c r="W20"/>
  <c r="H20"/>
  <c r="K20"/>
  <c r="N20"/>
  <c r="V20"/>
  <c r="E21"/>
  <c r="O21"/>
  <c r="W21"/>
  <c r="H21"/>
  <c r="K21"/>
  <c r="N21"/>
  <c r="N18"/>
  <c r="V21"/>
  <c r="E22"/>
  <c r="O22"/>
  <c r="W22"/>
  <c r="H22"/>
  <c r="K22"/>
  <c r="N22"/>
  <c r="V22"/>
  <c r="C23"/>
  <c r="D23"/>
  <c r="F23"/>
  <c r="G23"/>
  <c r="I23"/>
  <c r="J23"/>
  <c r="L23"/>
  <c r="M23"/>
  <c r="Q23"/>
  <c r="R23"/>
  <c r="S23"/>
  <c r="T23"/>
  <c r="U23"/>
  <c r="V23"/>
  <c r="E24"/>
  <c r="O24"/>
  <c r="H24"/>
  <c r="H23"/>
  <c r="K24"/>
  <c r="K23"/>
  <c r="N24"/>
  <c r="N23"/>
  <c r="V24"/>
  <c r="E25"/>
  <c r="O25"/>
  <c r="W25"/>
  <c r="H25"/>
  <c r="K25"/>
  <c r="N25"/>
  <c r="V25"/>
  <c r="E26"/>
  <c r="O26"/>
  <c r="W26"/>
  <c r="H26"/>
  <c r="K26"/>
  <c r="N26"/>
  <c r="V26"/>
  <c r="E27"/>
  <c r="O27"/>
  <c r="W27"/>
  <c r="H27"/>
  <c r="K27"/>
  <c r="N27"/>
  <c r="V27"/>
  <c r="C28"/>
  <c r="D28"/>
  <c r="F28"/>
  <c r="G28"/>
  <c r="I28"/>
  <c r="J28"/>
  <c r="L28"/>
  <c r="M28"/>
  <c r="N28"/>
  <c r="Q28"/>
  <c r="R28"/>
  <c r="S28"/>
  <c r="T28"/>
  <c r="U28"/>
  <c r="E29"/>
  <c r="E28"/>
  <c r="H29"/>
  <c r="H28"/>
  <c r="K29"/>
  <c r="N29"/>
  <c r="O29"/>
  <c r="V29"/>
  <c r="V28"/>
  <c r="E30"/>
  <c r="O30"/>
  <c r="W30"/>
  <c r="H30"/>
  <c r="K30"/>
  <c r="N30"/>
  <c r="V30"/>
  <c r="E31"/>
  <c r="O31"/>
  <c r="W31"/>
  <c r="H31"/>
  <c r="K31"/>
  <c r="N31"/>
  <c r="V31"/>
  <c r="E32"/>
  <c r="O32"/>
  <c r="W32"/>
  <c r="H32"/>
  <c r="K32"/>
  <c r="K28"/>
  <c r="N32"/>
  <c r="V32"/>
  <c r="C33"/>
  <c r="D33"/>
  <c r="E33"/>
  <c r="F33"/>
  <c r="G33"/>
  <c r="H33"/>
  <c r="I33"/>
  <c r="J33"/>
  <c r="K33"/>
  <c r="L33"/>
  <c r="M33"/>
  <c r="N33"/>
  <c r="O33"/>
  <c r="Q33"/>
  <c r="R33"/>
  <c r="S33"/>
  <c r="T33"/>
  <c r="U33"/>
  <c r="V33"/>
  <c r="W33"/>
  <c r="E34"/>
  <c r="H34"/>
  <c r="K34"/>
  <c r="N34"/>
  <c r="O34"/>
  <c r="V34"/>
  <c r="W34"/>
  <c r="E35"/>
  <c r="H35"/>
  <c r="K35"/>
  <c r="N35"/>
  <c r="O35"/>
  <c r="V35"/>
  <c r="W35"/>
  <c r="E36"/>
  <c r="H36"/>
  <c r="K36"/>
  <c r="N36"/>
  <c r="O36"/>
  <c r="V36"/>
  <c r="W36"/>
  <c r="E37"/>
  <c r="H37"/>
  <c r="K37"/>
  <c r="N37"/>
  <c r="O37"/>
  <c r="V37"/>
  <c r="W37"/>
  <c r="E39"/>
  <c r="H39"/>
  <c r="K39"/>
  <c r="N39"/>
  <c r="O39"/>
  <c r="V39"/>
  <c r="W39"/>
  <c r="E40"/>
  <c r="H40"/>
  <c r="K40"/>
  <c r="N40"/>
  <c r="O40"/>
  <c r="V40"/>
  <c r="W40"/>
  <c r="E41"/>
  <c r="H41"/>
  <c r="K41"/>
  <c r="N41"/>
  <c r="O41"/>
  <c r="V41"/>
  <c r="W41"/>
  <c r="E42"/>
  <c r="H42"/>
  <c r="K42"/>
  <c r="N42"/>
  <c r="O42"/>
  <c r="V42"/>
  <c r="W42"/>
  <c r="E43"/>
  <c r="H43"/>
  <c r="K43"/>
  <c r="N43"/>
  <c r="O43"/>
  <c r="V43"/>
  <c r="W43"/>
  <c r="E44"/>
  <c r="H44"/>
  <c r="K44"/>
  <c r="N44"/>
  <c r="O44"/>
  <c r="V44"/>
  <c r="W44"/>
  <c r="E45"/>
  <c r="H45"/>
  <c r="K45"/>
  <c r="N45"/>
  <c r="O45"/>
  <c r="V45"/>
  <c r="W45"/>
  <c r="E46"/>
  <c r="H46"/>
  <c r="K46"/>
  <c r="N46"/>
  <c r="O46"/>
  <c r="V46"/>
  <c r="W46"/>
  <c r="E47"/>
  <c r="H47"/>
  <c r="K47"/>
  <c r="N47"/>
  <c r="O47"/>
  <c r="V47"/>
  <c r="W47"/>
  <c r="E48"/>
  <c r="H48"/>
  <c r="K48"/>
  <c r="N48"/>
  <c r="O48"/>
  <c r="V48"/>
  <c r="W48"/>
  <c r="E49"/>
  <c r="H49"/>
  <c r="K49"/>
  <c r="N49"/>
  <c r="O49"/>
  <c r="V49"/>
  <c r="W49"/>
  <c r="E50"/>
  <c r="H50"/>
  <c r="K50"/>
  <c r="N50"/>
  <c r="O50"/>
  <c r="V50"/>
  <c r="W50"/>
  <c r="E52"/>
  <c r="H52"/>
  <c r="K52"/>
  <c r="N52"/>
  <c r="O52"/>
  <c r="V52"/>
  <c r="W52"/>
  <c r="E53"/>
  <c r="H53"/>
  <c r="K53"/>
  <c r="N53"/>
  <c r="O53"/>
  <c r="V53"/>
  <c r="W53"/>
  <c r="E54"/>
  <c r="H54"/>
  <c r="K54"/>
  <c r="N54"/>
  <c r="O54"/>
  <c r="V54"/>
  <c r="W54"/>
  <c r="E55"/>
  <c r="H55"/>
  <c r="K55"/>
  <c r="N55"/>
  <c r="O55"/>
  <c r="V55"/>
  <c r="W55"/>
  <c r="C75"/>
  <c r="D75"/>
  <c r="F75"/>
  <c r="G75"/>
  <c r="I75"/>
  <c r="J75"/>
  <c r="L75"/>
  <c r="M75"/>
  <c r="Q75"/>
  <c r="R75"/>
  <c r="S75"/>
  <c r="T75"/>
  <c r="U75"/>
  <c r="W75"/>
  <c r="C76"/>
  <c r="D76"/>
  <c r="F76"/>
  <c r="G76"/>
  <c r="I76"/>
  <c r="J76"/>
  <c r="L76"/>
  <c r="M76"/>
  <c r="Q76"/>
  <c r="R76"/>
  <c r="S76"/>
  <c r="T76"/>
  <c r="U76"/>
  <c r="W76"/>
  <c r="C77"/>
  <c r="D77"/>
  <c r="F77"/>
  <c r="G77"/>
  <c r="I77"/>
  <c r="J77"/>
  <c r="L77"/>
  <c r="M77"/>
  <c r="Q77"/>
  <c r="R77"/>
  <c r="S77"/>
  <c r="T77"/>
  <c r="U77"/>
  <c r="W77"/>
  <c r="C78"/>
  <c r="D78"/>
  <c r="F78"/>
  <c r="G78"/>
  <c r="I78"/>
  <c r="J78"/>
  <c r="L78"/>
  <c r="M78"/>
  <c r="Q78"/>
  <c r="R78"/>
  <c r="S78"/>
  <c r="T78"/>
  <c r="U78"/>
  <c r="W78"/>
  <c r="C85"/>
  <c r="D85"/>
  <c r="F85"/>
  <c r="G85"/>
  <c r="I85"/>
  <c r="J85"/>
  <c r="L85"/>
  <c r="M85"/>
  <c r="N85"/>
  <c r="Q85"/>
  <c r="R85"/>
  <c r="S85"/>
  <c r="T85"/>
  <c r="U85"/>
  <c r="W85"/>
  <c r="C86"/>
  <c r="D86"/>
  <c r="F86"/>
  <c r="G86"/>
  <c r="I86"/>
  <c r="J86"/>
  <c r="L86"/>
  <c r="M86"/>
  <c r="N86"/>
  <c r="Q86"/>
  <c r="R86"/>
  <c r="S86"/>
  <c r="T86"/>
  <c r="U86"/>
  <c r="W86"/>
  <c r="C87"/>
  <c r="D87"/>
  <c r="F87"/>
  <c r="G87"/>
  <c r="I87"/>
  <c r="J87"/>
  <c r="L87"/>
  <c r="M87"/>
  <c r="N87"/>
  <c r="Q87"/>
  <c r="R87"/>
  <c r="S87"/>
  <c r="T87"/>
  <c r="U87"/>
  <c r="W87"/>
  <c r="C88"/>
  <c r="D88"/>
  <c r="F88"/>
  <c r="G88"/>
  <c r="I88"/>
  <c r="J88"/>
  <c r="L88"/>
  <c r="M88"/>
  <c r="N88"/>
  <c r="Q88"/>
  <c r="R88"/>
  <c r="S88"/>
  <c r="T88"/>
  <c r="U88"/>
  <c r="W88"/>
  <c r="G6" i="36"/>
  <c r="L6"/>
  <c r="J6"/>
  <c r="G7"/>
  <c r="L7" s="1"/>
  <c r="J7"/>
  <c r="G8"/>
  <c r="L8" s="1"/>
  <c r="J8"/>
  <c r="G9"/>
  <c r="L9"/>
  <c r="J9"/>
  <c r="G10"/>
  <c r="L10"/>
  <c r="J10"/>
  <c r="G11"/>
  <c r="L11"/>
  <c r="J11"/>
  <c r="G12"/>
  <c r="L12"/>
  <c r="J12"/>
  <c r="G13"/>
  <c r="J13"/>
  <c r="L13"/>
  <c r="C16"/>
  <c r="D16"/>
  <c r="E16"/>
  <c r="F16"/>
  <c r="H16"/>
  <c r="I16"/>
  <c r="K16"/>
  <c r="G17"/>
  <c r="L17"/>
  <c r="J17"/>
  <c r="G18"/>
  <c r="L18"/>
  <c r="J18"/>
  <c r="G19"/>
  <c r="L19"/>
  <c r="J19"/>
  <c r="G20"/>
  <c r="L20"/>
  <c r="J20"/>
  <c r="G21"/>
  <c r="J21"/>
  <c r="L21"/>
  <c r="G22"/>
  <c r="L22"/>
  <c r="J22"/>
  <c r="G23"/>
  <c r="L23"/>
  <c r="J23"/>
  <c r="G24"/>
  <c r="L24"/>
  <c r="J24"/>
  <c r="G25"/>
  <c r="L25"/>
  <c r="J25"/>
  <c r="G26"/>
  <c r="L26"/>
  <c r="J26"/>
  <c r="G27"/>
  <c r="L27"/>
  <c r="J27"/>
  <c r="G28"/>
  <c r="G16"/>
  <c r="J28"/>
  <c r="J16"/>
  <c r="C29"/>
  <c r="D29"/>
  <c r="E29"/>
  <c r="F29"/>
  <c r="H29"/>
  <c r="I29"/>
  <c r="K29"/>
  <c r="G30"/>
  <c r="L30"/>
  <c r="J30"/>
  <c r="G31"/>
  <c r="L31"/>
  <c r="J31"/>
  <c r="G32"/>
  <c r="L32"/>
  <c r="J32"/>
  <c r="G33"/>
  <c r="L33"/>
  <c r="J33"/>
  <c r="G34"/>
  <c r="L34"/>
  <c r="J34"/>
  <c r="G35"/>
  <c r="L35"/>
  <c r="J35"/>
  <c r="G36"/>
  <c r="L36"/>
  <c r="J36"/>
  <c r="G37"/>
  <c r="L37"/>
  <c r="J37"/>
  <c r="G38"/>
  <c r="L38"/>
  <c r="J38"/>
  <c r="G39"/>
  <c r="L39"/>
  <c r="J39"/>
  <c r="G40"/>
  <c r="L40"/>
  <c r="J40"/>
  <c r="G41"/>
  <c r="L41"/>
  <c r="L29"/>
  <c r="J41"/>
  <c r="J29"/>
  <c r="G43"/>
  <c r="L43"/>
  <c r="J43"/>
  <c r="G44"/>
  <c r="L44"/>
  <c r="J44"/>
  <c r="G45"/>
  <c r="L45"/>
  <c r="J45"/>
  <c r="G46"/>
  <c r="L46"/>
  <c r="J46"/>
  <c r="G47"/>
  <c r="L47"/>
  <c r="J47"/>
  <c r="G48"/>
  <c r="L48"/>
  <c r="J48"/>
  <c r="F8" i="5"/>
  <c r="J8"/>
  <c r="Q8" s="1"/>
  <c r="S8" s="1"/>
  <c r="T8" s="1"/>
  <c r="M8"/>
  <c r="P8"/>
  <c r="F9"/>
  <c r="J9"/>
  <c r="M9"/>
  <c r="P9"/>
  <c r="Q9" s="1"/>
  <c r="S9" s="1"/>
  <c r="T9" s="1"/>
  <c r="F10"/>
  <c r="J10"/>
  <c r="Q10"/>
  <c r="S10"/>
  <c r="M10"/>
  <c r="P10"/>
  <c r="F11"/>
  <c r="T11"/>
  <c r="M11"/>
  <c r="Q11"/>
  <c r="S11"/>
  <c r="P11"/>
  <c r="F12"/>
  <c r="J12"/>
  <c r="Q12"/>
  <c r="S12"/>
  <c r="T12"/>
  <c r="M12"/>
  <c r="P12"/>
  <c r="F13"/>
  <c r="J13"/>
  <c r="Q13"/>
  <c r="S13"/>
  <c r="T13"/>
  <c r="M13"/>
  <c r="P13"/>
  <c r="F14"/>
  <c r="J14"/>
  <c r="M14"/>
  <c r="P14"/>
  <c r="Q14"/>
  <c r="S14"/>
  <c r="J15"/>
  <c r="M15"/>
  <c r="Q15"/>
  <c r="S15"/>
  <c r="T15"/>
  <c r="J16"/>
  <c r="Q16"/>
  <c r="S16"/>
  <c r="T16"/>
  <c r="M16"/>
  <c r="J17"/>
  <c r="M17"/>
  <c r="Q17"/>
  <c r="S17"/>
  <c r="T17"/>
  <c r="J18"/>
  <c r="M18"/>
  <c r="Q18"/>
  <c r="S18"/>
  <c r="T18"/>
  <c r="J19"/>
  <c r="Q19"/>
  <c r="S19"/>
  <c r="T19"/>
  <c r="M19"/>
  <c r="J20"/>
  <c r="Q20"/>
  <c r="S20"/>
  <c r="T20"/>
  <c r="M20"/>
  <c r="C22"/>
  <c r="D22"/>
  <c r="E22"/>
  <c r="F22"/>
  <c r="G22"/>
  <c r="H22"/>
  <c r="I22"/>
  <c r="K22"/>
  <c r="L22"/>
  <c r="N22"/>
  <c r="O22"/>
  <c r="R22"/>
  <c r="F23"/>
  <c r="T23"/>
  <c r="J23"/>
  <c r="Q23"/>
  <c r="S23"/>
  <c r="L23"/>
  <c r="M23"/>
  <c r="P23"/>
  <c r="F24"/>
  <c r="J24"/>
  <c r="Q24"/>
  <c r="S24"/>
  <c r="M24"/>
  <c r="P24"/>
  <c r="F25"/>
  <c r="T25"/>
  <c r="J25"/>
  <c r="Q25"/>
  <c r="S25"/>
  <c r="M25"/>
  <c r="P25"/>
  <c r="F26"/>
  <c r="J26"/>
  <c r="Q26"/>
  <c r="S26"/>
  <c r="M26"/>
  <c r="P26"/>
  <c r="F27"/>
  <c r="J27"/>
  <c r="Q27"/>
  <c r="S27"/>
  <c r="T27"/>
  <c r="M27"/>
  <c r="P27"/>
  <c r="F28"/>
  <c r="J28"/>
  <c r="Q28"/>
  <c r="S28"/>
  <c r="T28"/>
  <c r="M28"/>
  <c r="P28"/>
  <c r="F29"/>
  <c r="J29"/>
  <c r="M29"/>
  <c r="Q29"/>
  <c r="S29"/>
  <c r="T29"/>
  <c r="P29"/>
  <c r="F30"/>
  <c r="J30"/>
  <c r="M30"/>
  <c r="P30"/>
  <c r="Q30"/>
  <c r="S30"/>
  <c r="T30"/>
  <c r="F31"/>
  <c r="J31"/>
  <c r="Q31"/>
  <c r="S31"/>
  <c r="T31"/>
  <c r="M31"/>
  <c r="P31"/>
  <c r="F32"/>
  <c r="J32"/>
  <c r="Q32"/>
  <c r="S32"/>
  <c r="T32"/>
  <c r="M32"/>
  <c r="P32"/>
  <c r="F33"/>
  <c r="J33"/>
  <c r="Q33"/>
  <c r="S33"/>
  <c r="T33"/>
  <c r="M33"/>
  <c r="P33"/>
  <c r="F34"/>
  <c r="J34"/>
  <c r="J22"/>
  <c r="M34"/>
  <c r="M22"/>
  <c r="P34"/>
  <c r="P22"/>
  <c r="C35"/>
  <c r="D35"/>
  <c r="E35"/>
  <c r="G35"/>
  <c r="H35"/>
  <c r="I35"/>
  <c r="J35"/>
  <c r="K35"/>
  <c r="L35"/>
  <c r="N35"/>
  <c r="O35"/>
  <c r="P35"/>
  <c r="R35"/>
  <c r="F36"/>
  <c r="J36"/>
  <c r="Q36"/>
  <c r="S36"/>
  <c r="T36"/>
  <c r="M36"/>
  <c r="P36"/>
  <c r="F37"/>
  <c r="J37"/>
  <c r="M37"/>
  <c r="P37"/>
  <c r="Q37"/>
  <c r="S37"/>
  <c r="T37"/>
  <c r="F38"/>
  <c r="T38"/>
  <c r="J38"/>
  <c r="M38"/>
  <c r="P38"/>
  <c r="Q38"/>
  <c r="S38"/>
  <c r="F39"/>
  <c r="T39"/>
  <c r="J39"/>
  <c r="Q39"/>
  <c r="S39"/>
  <c r="M39"/>
  <c r="P39"/>
  <c r="F40"/>
  <c r="J40"/>
  <c r="Q40"/>
  <c r="S40"/>
  <c r="T40"/>
  <c r="M40"/>
  <c r="P40"/>
  <c r="F41"/>
  <c r="T41"/>
  <c r="J41"/>
  <c r="M41"/>
  <c r="Q41"/>
  <c r="S41"/>
  <c r="P41"/>
  <c r="F42"/>
  <c r="T42"/>
  <c r="J42"/>
  <c r="M42"/>
  <c r="P42"/>
  <c r="Q42"/>
  <c r="S42"/>
  <c r="F43"/>
  <c r="T43"/>
  <c r="J43"/>
  <c r="M43"/>
  <c r="P43"/>
  <c r="Q43"/>
  <c r="S43"/>
  <c r="F44"/>
  <c r="J44"/>
  <c r="Q44"/>
  <c r="S44"/>
  <c r="T44"/>
  <c r="M44"/>
  <c r="P44"/>
  <c r="F45"/>
  <c r="J45"/>
  <c r="M45"/>
  <c r="P45"/>
  <c r="Q45"/>
  <c r="S45"/>
  <c r="T45"/>
  <c r="F46"/>
  <c r="J46"/>
  <c r="M46"/>
  <c r="P46"/>
  <c r="Q46"/>
  <c r="S46"/>
  <c r="F47"/>
  <c r="F35"/>
  <c r="J47"/>
  <c r="Q47"/>
  <c r="M47"/>
  <c r="M35"/>
  <c r="P47"/>
  <c r="F49"/>
  <c r="J49"/>
  <c r="Q49"/>
  <c r="S49"/>
  <c r="T49"/>
  <c r="M49"/>
  <c r="P49"/>
  <c r="F50"/>
  <c r="J50"/>
  <c r="M50"/>
  <c r="Q50"/>
  <c r="S50"/>
  <c r="P50"/>
  <c r="F51"/>
  <c r="J51"/>
  <c r="M51"/>
  <c r="P51"/>
  <c r="Q51"/>
  <c r="S51"/>
  <c r="F52"/>
  <c r="J52"/>
  <c r="M52"/>
  <c r="P52"/>
  <c r="Q52"/>
  <c r="S52"/>
  <c r="F53"/>
  <c r="J53"/>
  <c r="Q53"/>
  <c r="S53"/>
  <c r="T53"/>
  <c r="M53"/>
  <c r="P53"/>
  <c r="F54"/>
  <c r="J54"/>
  <c r="M54"/>
  <c r="P54"/>
  <c r="Q54"/>
  <c r="S54"/>
  <c r="T54"/>
  <c r="C8" i="51"/>
  <c r="H8"/>
  <c r="J8"/>
  <c r="K8"/>
  <c r="I8"/>
  <c r="C9"/>
  <c r="H9"/>
  <c r="J9" s="1"/>
  <c r="K9" s="1"/>
  <c r="I9"/>
  <c r="C10"/>
  <c r="H10"/>
  <c r="J10"/>
  <c r="K10"/>
  <c r="I10"/>
  <c r="C11"/>
  <c r="F11"/>
  <c r="H11"/>
  <c r="J11"/>
  <c r="K11"/>
  <c r="I11"/>
  <c r="C12"/>
  <c r="F12"/>
  <c r="H12"/>
  <c r="J12"/>
  <c r="K12"/>
  <c r="I12"/>
  <c r="C13"/>
  <c r="F13"/>
  <c r="H13"/>
  <c r="J13"/>
  <c r="K13"/>
  <c r="I13"/>
  <c r="C14"/>
  <c r="F14"/>
  <c r="H14"/>
  <c r="J14"/>
  <c r="K14"/>
  <c r="I14"/>
  <c r="C15"/>
  <c r="K15"/>
  <c r="E15"/>
  <c r="F15"/>
  <c r="H15"/>
  <c r="I15"/>
  <c r="J15"/>
  <c r="C16"/>
  <c r="D16"/>
  <c r="E16"/>
  <c r="F16"/>
  <c r="H16"/>
  <c r="J16"/>
  <c r="I16"/>
  <c r="E17"/>
  <c r="H17"/>
  <c r="J17"/>
  <c r="K17"/>
  <c r="F17"/>
  <c r="E18"/>
  <c r="H18"/>
  <c r="J18"/>
  <c r="K18"/>
  <c r="F18"/>
  <c r="F19"/>
  <c r="H19"/>
  <c r="J19"/>
  <c r="K19"/>
  <c r="H20"/>
  <c r="J20"/>
  <c r="K20"/>
  <c r="H21"/>
  <c r="J21"/>
  <c r="K21"/>
  <c r="H22"/>
  <c r="J22"/>
  <c r="K22"/>
  <c r="H23"/>
  <c r="J23"/>
  <c r="K23"/>
  <c r="H24"/>
  <c r="J24"/>
  <c r="K24"/>
  <c r="C26"/>
  <c r="D26"/>
  <c r="E26"/>
  <c r="F26"/>
  <c r="G26"/>
  <c r="I26"/>
  <c r="H27"/>
  <c r="J27"/>
  <c r="K27"/>
  <c r="H28"/>
  <c r="J28"/>
  <c r="K28"/>
  <c r="I28"/>
  <c r="H29"/>
  <c r="J29"/>
  <c r="K29"/>
  <c r="H30"/>
  <c r="J30"/>
  <c r="K30"/>
  <c r="H31"/>
  <c r="J31"/>
  <c r="K31"/>
  <c r="H32"/>
  <c r="J32"/>
  <c r="K32"/>
  <c r="I32"/>
  <c r="H33"/>
  <c r="J33"/>
  <c r="K33"/>
  <c r="H34"/>
  <c r="J34"/>
  <c r="K34"/>
  <c r="H35"/>
  <c r="J35"/>
  <c r="K35"/>
  <c r="I35"/>
  <c r="H36"/>
  <c r="J36"/>
  <c r="K36"/>
  <c r="H37"/>
  <c r="J37"/>
  <c r="K37"/>
  <c r="H38"/>
  <c r="H26"/>
  <c r="J38"/>
  <c r="J26"/>
  <c r="C39"/>
  <c r="D39"/>
  <c r="E39"/>
  <c r="F39"/>
  <c r="G39"/>
  <c r="I39"/>
  <c r="H40"/>
  <c r="J40"/>
  <c r="K40"/>
  <c r="H41"/>
  <c r="J41"/>
  <c r="K41"/>
  <c r="H42"/>
  <c r="J42"/>
  <c r="K42"/>
  <c r="H43"/>
  <c r="J43"/>
  <c r="K43"/>
  <c r="H44"/>
  <c r="J44"/>
  <c r="K44"/>
  <c r="H45"/>
  <c r="J45"/>
  <c r="K45"/>
  <c r="H46"/>
  <c r="K46"/>
  <c r="H47"/>
  <c r="K47"/>
  <c r="H48"/>
  <c r="J48"/>
  <c r="K48"/>
  <c r="H49"/>
  <c r="J49"/>
  <c r="K49"/>
  <c r="H50"/>
  <c r="J50"/>
  <c r="K50"/>
  <c r="H51"/>
  <c r="H39"/>
  <c r="J51"/>
  <c r="K51"/>
  <c r="K39"/>
  <c r="H53"/>
  <c r="J53"/>
  <c r="K53"/>
  <c r="H54"/>
  <c r="J54"/>
  <c r="K54"/>
  <c r="H55"/>
  <c r="J55"/>
  <c r="K55"/>
  <c r="H56"/>
  <c r="J56"/>
  <c r="K56"/>
  <c r="H57"/>
  <c r="J57"/>
  <c r="K57"/>
  <c r="H8" i="4"/>
  <c r="H9"/>
  <c r="H10"/>
  <c r="H11"/>
  <c r="H12"/>
  <c r="H13"/>
  <c r="H14"/>
  <c r="H15"/>
  <c r="H16"/>
  <c r="G17"/>
  <c r="H17"/>
  <c r="G18"/>
  <c r="H18"/>
  <c r="G19"/>
  <c r="H19"/>
  <c r="G20"/>
  <c r="H20"/>
  <c r="H21"/>
  <c r="H22"/>
  <c r="H23"/>
  <c r="C27"/>
  <c r="D27"/>
  <c r="E27"/>
  <c r="F27"/>
  <c r="G27"/>
  <c r="H28"/>
  <c r="H29"/>
  <c r="G30"/>
  <c r="H30"/>
  <c r="G31"/>
  <c r="H31"/>
  <c r="G32"/>
  <c r="H32"/>
  <c r="H33"/>
  <c r="H34"/>
  <c r="H35"/>
  <c r="H36"/>
  <c r="H37"/>
  <c r="H38"/>
  <c r="H39"/>
  <c r="H27"/>
  <c r="C40"/>
  <c r="D40"/>
  <c r="E40"/>
  <c r="F40"/>
  <c r="G40"/>
  <c r="H41"/>
  <c r="H42"/>
  <c r="H43"/>
  <c r="H44"/>
  <c r="H45"/>
  <c r="H46"/>
  <c r="H47"/>
  <c r="H48"/>
  <c r="H49"/>
  <c r="H50"/>
  <c r="H51"/>
  <c r="H52"/>
  <c r="H40"/>
  <c r="H54"/>
  <c r="H55"/>
  <c r="H56"/>
  <c r="H57"/>
  <c r="H58"/>
  <c r="C7" i="35"/>
  <c r="D7"/>
  <c r="G7"/>
  <c r="L7"/>
  <c r="J7"/>
  <c r="G8"/>
  <c r="J8"/>
  <c r="G9"/>
  <c r="L9" s="1"/>
  <c r="J9"/>
  <c r="G10"/>
  <c r="L10"/>
  <c r="J10"/>
  <c r="G11"/>
  <c r="J11"/>
  <c r="G12"/>
  <c r="L12" s="1"/>
  <c r="J12"/>
  <c r="G13"/>
  <c r="L13"/>
  <c r="J13"/>
  <c r="C16"/>
  <c r="D16"/>
  <c r="E16"/>
  <c r="F16"/>
  <c r="H16"/>
  <c r="I16"/>
  <c r="K16"/>
  <c r="G17"/>
  <c r="J17"/>
  <c r="G18"/>
  <c r="J18"/>
  <c r="G19"/>
  <c r="J19"/>
  <c r="G20"/>
  <c r="J20"/>
  <c r="L20" s="1"/>
  <c r="G21"/>
  <c r="J21"/>
  <c r="G22"/>
  <c r="J22"/>
  <c r="L22" s="1"/>
  <c r="G23"/>
  <c r="J23"/>
  <c r="G24"/>
  <c r="J24"/>
  <c r="L24" s="1"/>
  <c r="G25"/>
  <c r="J25"/>
  <c r="G26"/>
  <c r="J26"/>
  <c r="L26" s="1"/>
  <c r="G27"/>
  <c r="J27"/>
  <c r="G28"/>
  <c r="G16"/>
  <c r="J28"/>
  <c r="J16" s="1"/>
  <c r="C29"/>
  <c r="D29"/>
  <c r="E29"/>
  <c r="F29"/>
  <c r="G29"/>
  <c r="H29"/>
  <c r="I29"/>
  <c r="J29"/>
  <c r="K29"/>
  <c r="G30"/>
  <c r="L30" s="1"/>
  <c r="J30"/>
  <c r="G31"/>
  <c r="L31"/>
  <c r="J31"/>
  <c r="L32"/>
  <c r="G33"/>
  <c r="J33"/>
  <c r="G34"/>
  <c r="J34"/>
  <c r="G35"/>
  <c r="J35"/>
  <c r="G36"/>
  <c r="J36"/>
  <c r="G37"/>
  <c r="J37"/>
  <c r="L37" s="1"/>
  <c r="G38"/>
  <c r="J38"/>
  <c r="G39"/>
  <c r="J39"/>
  <c r="L39" s="1"/>
  <c r="G40"/>
  <c r="J40"/>
  <c r="L41"/>
  <c r="L29"/>
  <c r="G43"/>
  <c r="L43" s="1"/>
  <c r="J43"/>
  <c r="G44"/>
  <c r="L44" s="1"/>
  <c r="J44"/>
  <c r="G45"/>
  <c r="J45"/>
  <c r="G46"/>
  <c r="L46" s="1"/>
  <c r="J46"/>
  <c r="G47"/>
  <c r="J47"/>
  <c r="L47" s="1"/>
  <c r="B10" i="3"/>
  <c r="D10"/>
  <c r="G10"/>
  <c r="L10" s="1"/>
  <c r="N10" s="1"/>
  <c r="O10" s="1"/>
  <c r="J10"/>
  <c r="M10"/>
  <c r="B11"/>
  <c r="D11"/>
  <c r="G11"/>
  <c r="L11"/>
  <c r="N11"/>
  <c r="O11"/>
  <c r="J11"/>
  <c r="M11"/>
  <c r="B12"/>
  <c r="D12"/>
  <c r="O12"/>
  <c r="G12"/>
  <c r="J12"/>
  <c r="L12"/>
  <c r="N12"/>
  <c r="M12"/>
  <c r="B13"/>
  <c r="D13"/>
  <c r="G13"/>
  <c r="L13"/>
  <c r="N13"/>
  <c r="O13"/>
  <c r="J13"/>
  <c r="M13"/>
  <c r="B14"/>
  <c r="D14"/>
  <c r="G14"/>
  <c r="J14"/>
  <c r="L14"/>
  <c r="N14"/>
  <c r="O14"/>
  <c r="M14"/>
  <c r="B15"/>
  <c r="D15"/>
  <c r="O15"/>
  <c r="G15"/>
  <c r="J15"/>
  <c r="L15"/>
  <c r="N15"/>
  <c r="K15"/>
  <c r="M15"/>
  <c r="B16"/>
  <c r="D16"/>
  <c r="O16"/>
  <c r="G16"/>
  <c r="L16"/>
  <c r="N16"/>
  <c r="J16"/>
  <c r="K16"/>
  <c r="M16"/>
  <c r="B17"/>
  <c r="D17"/>
  <c r="G17"/>
  <c r="L17"/>
  <c r="N17"/>
  <c r="O17"/>
  <c r="H17"/>
  <c r="J17"/>
  <c r="K17"/>
  <c r="M17"/>
  <c r="B18"/>
  <c r="D18"/>
  <c r="O18"/>
  <c r="G18"/>
  <c r="J18"/>
  <c r="K18"/>
  <c r="L18"/>
  <c r="N18"/>
  <c r="M18"/>
  <c r="B19"/>
  <c r="D19"/>
  <c r="G19"/>
  <c r="H19"/>
  <c r="J19"/>
  <c r="L19"/>
  <c r="M19"/>
  <c r="N19"/>
  <c r="O19"/>
  <c r="B20"/>
  <c r="D20"/>
  <c r="E20"/>
  <c r="G20"/>
  <c r="H20"/>
  <c r="J20"/>
  <c r="L20"/>
  <c r="M20"/>
  <c r="N20"/>
  <c r="O20"/>
  <c r="D21"/>
  <c r="E21"/>
  <c r="G21"/>
  <c r="H21"/>
  <c r="J21"/>
  <c r="L21"/>
  <c r="N21"/>
  <c r="O21"/>
  <c r="D22"/>
  <c r="G22"/>
  <c r="H22"/>
  <c r="J22"/>
  <c r="L22"/>
  <c r="N22"/>
  <c r="O22"/>
  <c r="D23"/>
  <c r="G23"/>
  <c r="J23"/>
  <c r="L23"/>
  <c r="N23"/>
  <c r="O23"/>
  <c r="D24"/>
  <c r="G24"/>
  <c r="J24"/>
  <c r="L24"/>
  <c r="N24"/>
  <c r="O24"/>
  <c r="D25"/>
  <c r="G25"/>
  <c r="J25"/>
  <c r="L25"/>
  <c r="N25"/>
  <c r="D26"/>
  <c r="G26"/>
  <c r="J26"/>
  <c r="L26"/>
  <c r="N26"/>
  <c r="D27"/>
  <c r="G27"/>
  <c r="J27"/>
  <c r="L27"/>
  <c r="D28"/>
  <c r="B30"/>
  <c r="C30"/>
  <c r="E30"/>
  <c r="F30"/>
  <c r="G30"/>
  <c r="H30"/>
  <c r="I30"/>
  <c r="K30"/>
  <c r="M30"/>
  <c r="D31"/>
  <c r="O31"/>
  <c r="G31"/>
  <c r="J31"/>
  <c r="L31"/>
  <c r="N31"/>
  <c r="D32"/>
  <c r="O32"/>
  <c r="G32"/>
  <c r="L32"/>
  <c r="N32"/>
  <c r="H32"/>
  <c r="J32"/>
  <c r="D33"/>
  <c r="G33"/>
  <c r="L33"/>
  <c r="N33"/>
  <c r="O33"/>
  <c r="H33"/>
  <c r="J33"/>
  <c r="D34"/>
  <c r="O34"/>
  <c r="G34"/>
  <c r="H34"/>
  <c r="J34"/>
  <c r="L34"/>
  <c r="N34"/>
  <c r="D35"/>
  <c r="O35"/>
  <c r="G35"/>
  <c r="H35"/>
  <c r="J35"/>
  <c r="L35"/>
  <c r="N35"/>
  <c r="D36"/>
  <c r="G36"/>
  <c r="H36"/>
  <c r="J36"/>
  <c r="L36"/>
  <c r="N36"/>
  <c r="O36"/>
  <c r="D37"/>
  <c r="G37"/>
  <c r="J37"/>
  <c r="L37"/>
  <c r="N37"/>
  <c r="O37"/>
  <c r="D38"/>
  <c r="O38"/>
  <c r="G38"/>
  <c r="L38"/>
  <c r="N38"/>
  <c r="J38"/>
  <c r="D39"/>
  <c r="G39"/>
  <c r="L39"/>
  <c r="N39"/>
  <c r="O39"/>
  <c r="J39"/>
  <c r="D40"/>
  <c r="G40"/>
  <c r="J40"/>
  <c r="L40"/>
  <c r="N40"/>
  <c r="O40"/>
  <c r="D41"/>
  <c r="G41"/>
  <c r="J41"/>
  <c r="L41"/>
  <c r="N41"/>
  <c r="O41"/>
  <c r="D42"/>
  <c r="D30"/>
  <c r="G42"/>
  <c r="L42"/>
  <c r="J42"/>
  <c r="J30"/>
  <c r="B43"/>
  <c r="C43"/>
  <c r="D43"/>
  <c r="E43"/>
  <c r="F43"/>
  <c r="G43"/>
  <c r="H43"/>
  <c r="I43"/>
  <c r="J43"/>
  <c r="K43"/>
  <c r="L43"/>
  <c r="M43"/>
  <c r="D44"/>
  <c r="G44"/>
  <c r="J44"/>
  <c r="L44"/>
  <c r="N44"/>
  <c r="O44"/>
  <c r="D45"/>
  <c r="G45"/>
  <c r="J45"/>
  <c r="L45"/>
  <c r="N45"/>
  <c r="O45"/>
  <c r="D46"/>
  <c r="G46"/>
  <c r="J46"/>
  <c r="L46"/>
  <c r="N46"/>
  <c r="O46"/>
  <c r="D47"/>
  <c r="G47"/>
  <c r="J47"/>
  <c r="L47"/>
  <c r="N47"/>
  <c r="O47"/>
  <c r="D48"/>
  <c r="G48"/>
  <c r="J48"/>
  <c r="L48"/>
  <c r="N48"/>
  <c r="O48"/>
  <c r="D49"/>
  <c r="G49"/>
  <c r="J49"/>
  <c r="L49"/>
  <c r="N49"/>
  <c r="O49"/>
  <c r="D50"/>
  <c r="G50"/>
  <c r="J50"/>
  <c r="L50"/>
  <c r="N50"/>
  <c r="O50"/>
  <c r="D51"/>
  <c r="G51"/>
  <c r="J51"/>
  <c r="L51"/>
  <c r="N51"/>
  <c r="O51"/>
  <c r="D52"/>
  <c r="G52"/>
  <c r="J52"/>
  <c r="L52"/>
  <c r="N52"/>
  <c r="O52"/>
  <c r="D53"/>
  <c r="G53"/>
  <c r="J53"/>
  <c r="L53"/>
  <c r="N53"/>
  <c r="O53"/>
  <c r="D54"/>
  <c r="G54"/>
  <c r="J54"/>
  <c r="L54"/>
  <c r="N54"/>
  <c r="O54"/>
  <c r="D55"/>
  <c r="G55"/>
  <c r="J55"/>
  <c r="L55"/>
  <c r="D57"/>
  <c r="G57"/>
  <c r="J57"/>
  <c r="L57"/>
  <c r="N57"/>
  <c r="O57"/>
  <c r="D58"/>
  <c r="G58"/>
  <c r="J58"/>
  <c r="L58"/>
  <c r="N58"/>
  <c r="O58"/>
  <c r="D59"/>
  <c r="G59"/>
  <c r="J59"/>
  <c r="L59"/>
  <c r="N59"/>
  <c r="O59"/>
  <c r="D60"/>
  <c r="G60"/>
  <c r="J60"/>
  <c r="L60"/>
  <c r="N60"/>
  <c r="O60"/>
  <c r="D61"/>
  <c r="G61"/>
  <c r="J61"/>
  <c r="L61"/>
  <c r="N61"/>
  <c r="O61"/>
  <c r="C26" i="2"/>
  <c r="E26"/>
  <c r="L26"/>
  <c r="M26"/>
  <c r="N26"/>
  <c r="C39"/>
  <c r="D39"/>
  <c r="E39"/>
  <c r="F39"/>
  <c r="G39"/>
  <c r="H39"/>
  <c r="I39"/>
  <c r="J39"/>
  <c r="K39"/>
  <c r="M39"/>
  <c r="N39"/>
  <c r="M8" i="1"/>
  <c r="O8"/>
  <c r="W8"/>
  <c r="X8"/>
  <c r="Z8"/>
  <c r="T8"/>
  <c r="U8"/>
  <c r="AE8"/>
  <c r="AQ8"/>
  <c r="AI8"/>
  <c r="AM8"/>
  <c r="AN8"/>
  <c r="AO8"/>
  <c r="AP8"/>
  <c r="AY8"/>
  <c r="BI8"/>
  <c r="CC8"/>
  <c r="M9"/>
  <c r="O9" s="1"/>
  <c r="W9" s="1"/>
  <c r="X9" s="1"/>
  <c r="Z9" s="1"/>
  <c r="T9"/>
  <c r="U9"/>
  <c r="AE9"/>
  <c r="AI9"/>
  <c r="AM9"/>
  <c r="AN9"/>
  <c r="AO9"/>
  <c r="AP9"/>
  <c r="AY9"/>
  <c r="BI9"/>
  <c r="CC9"/>
  <c r="M10"/>
  <c r="O10"/>
  <c r="W10"/>
  <c r="X10"/>
  <c r="Z10"/>
  <c r="T10"/>
  <c r="U10"/>
  <c r="AE10"/>
  <c r="AI10"/>
  <c r="AM10"/>
  <c r="AN10"/>
  <c r="AO10"/>
  <c r="AP10"/>
  <c r="AY10"/>
  <c r="BI10"/>
  <c r="CC10"/>
  <c r="M11"/>
  <c r="BD11"/>
  <c r="T11"/>
  <c r="U11"/>
  <c r="AE11"/>
  <c r="AI11"/>
  <c r="AM11"/>
  <c r="AN11"/>
  <c r="AO11"/>
  <c r="AP11"/>
  <c r="AY11"/>
  <c r="BI11"/>
  <c r="CC11"/>
  <c r="M12"/>
  <c r="BD12"/>
  <c r="AE12"/>
  <c r="AQ12"/>
  <c r="CC12"/>
  <c r="M13"/>
  <c r="O13"/>
  <c r="W13"/>
  <c r="X13"/>
  <c r="Z13"/>
  <c r="T13"/>
  <c r="U13"/>
  <c r="AE13"/>
  <c r="AI13"/>
  <c r="AM13"/>
  <c r="AN13"/>
  <c r="AO13"/>
  <c r="AP13"/>
  <c r="AY13"/>
  <c r="AZ13"/>
  <c r="BA13"/>
  <c r="BI13"/>
  <c r="CC13"/>
  <c r="M14"/>
  <c r="BD14"/>
  <c r="T14"/>
  <c r="U14"/>
  <c r="AE14"/>
  <c r="AI14"/>
  <c r="AM14"/>
  <c r="AN14"/>
  <c r="AO14"/>
  <c r="AP14"/>
  <c r="AY14"/>
  <c r="AZ14"/>
  <c r="BA14"/>
  <c r="BI14"/>
  <c r="CC14"/>
  <c r="M15"/>
  <c r="O15"/>
  <c r="W15"/>
  <c r="X15"/>
  <c r="Z15"/>
  <c r="T15"/>
  <c r="U15"/>
  <c r="AE15"/>
  <c r="AI15"/>
  <c r="AM15"/>
  <c r="AN15"/>
  <c r="AO15"/>
  <c r="AP15"/>
  <c r="AY15"/>
  <c r="AZ15"/>
  <c r="BA15"/>
  <c r="BI15"/>
  <c r="CC15"/>
  <c r="M16"/>
  <c r="BD16"/>
  <c r="T16"/>
  <c r="U16"/>
  <c r="AE16"/>
  <c r="AI16"/>
  <c r="AM16"/>
  <c r="AN16"/>
  <c r="AO16"/>
  <c r="AP16"/>
  <c r="AY16"/>
  <c r="AZ16"/>
  <c r="BA16"/>
  <c r="BI16"/>
  <c r="CC16"/>
  <c r="M17"/>
  <c r="O17"/>
  <c r="W17"/>
  <c r="X17"/>
  <c r="Z17"/>
  <c r="T17"/>
  <c r="U17"/>
  <c r="AE17"/>
  <c r="AI17"/>
  <c r="AM17"/>
  <c r="AN17"/>
  <c r="AO17"/>
  <c r="AP17"/>
  <c r="AY17"/>
  <c r="AZ17"/>
  <c r="BA17"/>
  <c r="BI17"/>
  <c r="CC17"/>
  <c r="M18"/>
  <c r="O18"/>
  <c r="W18"/>
  <c r="X18"/>
  <c r="Z18"/>
  <c r="T18"/>
  <c r="U18"/>
  <c r="AE18"/>
  <c r="AI18"/>
  <c r="AM18"/>
  <c r="AN18"/>
  <c r="AO18"/>
  <c r="AP18"/>
  <c r="AY18"/>
  <c r="AZ18"/>
  <c r="BA18"/>
  <c r="BI18"/>
  <c r="BY18"/>
  <c r="CC18"/>
  <c r="M19"/>
  <c r="O19"/>
  <c r="W19"/>
  <c r="X19"/>
  <c r="T19"/>
  <c r="U19"/>
  <c r="AE19"/>
  <c r="AI19"/>
  <c r="AM19"/>
  <c r="AN19"/>
  <c r="AO19"/>
  <c r="AP19"/>
  <c r="AY19"/>
  <c r="AZ19"/>
  <c r="BA19"/>
  <c r="BI19"/>
  <c r="BW19"/>
  <c r="BY19"/>
  <c r="CC19"/>
  <c r="AZ20"/>
  <c r="BA20"/>
  <c r="AZ21"/>
  <c r="BA21"/>
  <c r="K25"/>
  <c r="L25"/>
  <c r="N25"/>
  <c r="P25"/>
  <c r="Q25"/>
  <c r="R25"/>
  <c r="S25"/>
  <c r="V25"/>
  <c r="Y25"/>
  <c r="Z25"/>
  <c r="AB25"/>
  <c r="AC25"/>
  <c r="AD25"/>
  <c r="AF25"/>
  <c r="AG25"/>
  <c r="AH25"/>
  <c r="AJ25"/>
  <c r="AK25"/>
  <c r="AL25"/>
  <c r="AS25"/>
  <c r="AT25"/>
  <c r="AU25"/>
  <c r="AX25"/>
  <c r="BB25"/>
  <c r="BC25"/>
  <c r="BE25"/>
  <c r="BF25"/>
  <c r="BL25"/>
  <c r="BM25"/>
  <c r="BN25"/>
  <c r="BO25"/>
  <c r="BP25"/>
  <c r="BR25"/>
  <c r="BS25"/>
  <c r="BT25"/>
  <c r="BU25"/>
  <c r="BZ25"/>
  <c r="CA25"/>
  <c r="CB25"/>
  <c r="CD25"/>
  <c r="CE25"/>
  <c r="CF25"/>
  <c r="M26"/>
  <c r="O26"/>
  <c r="W26"/>
  <c r="X26"/>
  <c r="T26"/>
  <c r="U26"/>
  <c r="AE26"/>
  <c r="AI26"/>
  <c r="AM26"/>
  <c r="AN26"/>
  <c r="AO26"/>
  <c r="AP26"/>
  <c r="AV26"/>
  <c r="AY26"/>
  <c r="AZ26"/>
  <c r="BA26"/>
  <c r="BE26"/>
  <c r="BF26"/>
  <c r="BG26"/>
  <c r="BH26"/>
  <c r="BW26"/>
  <c r="BY26"/>
  <c r="CC26"/>
  <c r="M27"/>
  <c r="O27"/>
  <c r="W27"/>
  <c r="X27"/>
  <c r="T27"/>
  <c r="U27"/>
  <c r="AE27"/>
  <c r="AI27"/>
  <c r="AM27"/>
  <c r="AN27"/>
  <c r="AO27"/>
  <c r="AP27"/>
  <c r="AV27"/>
  <c r="AY27"/>
  <c r="AZ27"/>
  <c r="BA27"/>
  <c r="BE27"/>
  <c r="BF27"/>
  <c r="BH27"/>
  <c r="BW27"/>
  <c r="BY27"/>
  <c r="CC27"/>
  <c r="M28"/>
  <c r="O28"/>
  <c r="W28"/>
  <c r="X28"/>
  <c r="T28"/>
  <c r="U28"/>
  <c r="AC28"/>
  <c r="AE28"/>
  <c r="AD28"/>
  <c r="AG28"/>
  <c r="AH28"/>
  <c r="AJ28"/>
  <c r="AN28"/>
  <c r="AK28"/>
  <c r="AL28"/>
  <c r="AV28"/>
  <c r="AW28"/>
  <c r="BY28"/>
  <c r="BE28"/>
  <c r="BF28"/>
  <c r="BG28"/>
  <c r="BH28"/>
  <c r="CC28"/>
  <c r="M29"/>
  <c r="O29"/>
  <c r="W29"/>
  <c r="X29"/>
  <c r="T29"/>
  <c r="U29"/>
  <c r="AE29"/>
  <c r="AI29"/>
  <c r="AM29"/>
  <c r="AN29"/>
  <c r="AO29"/>
  <c r="AP29"/>
  <c r="AV29"/>
  <c r="AW29"/>
  <c r="BW29"/>
  <c r="BE29"/>
  <c r="BF29"/>
  <c r="BG29"/>
  <c r="BH29"/>
  <c r="CC29"/>
  <c r="M30"/>
  <c r="O30"/>
  <c r="W30"/>
  <c r="X30"/>
  <c r="T30"/>
  <c r="U30"/>
  <c r="AE30"/>
  <c r="AI30"/>
  <c r="AM30"/>
  <c r="AN30"/>
  <c r="AO30"/>
  <c r="AP30"/>
  <c r="AV30"/>
  <c r="AW30"/>
  <c r="AY30"/>
  <c r="AZ30"/>
  <c r="BA30"/>
  <c r="BE30"/>
  <c r="BF30"/>
  <c r="BG30"/>
  <c r="BH30"/>
  <c r="CC30"/>
  <c r="M31"/>
  <c r="O31"/>
  <c r="W31"/>
  <c r="X31"/>
  <c r="T31"/>
  <c r="U31"/>
  <c r="AE31"/>
  <c r="AI31"/>
  <c r="AM31"/>
  <c r="AN31"/>
  <c r="AO31"/>
  <c r="AP31"/>
  <c r="AV31"/>
  <c r="AW31"/>
  <c r="BY31"/>
  <c r="BE31"/>
  <c r="BF31"/>
  <c r="BG31"/>
  <c r="BH31"/>
  <c r="CC31"/>
  <c r="M32"/>
  <c r="O32"/>
  <c r="W32"/>
  <c r="X32"/>
  <c r="T32"/>
  <c r="U32"/>
  <c r="AE32"/>
  <c r="AQ32"/>
  <c r="AI32"/>
  <c r="AM32"/>
  <c r="AN32"/>
  <c r="AO32"/>
  <c r="AP32"/>
  <c r="AV32"/>
  <c r="AW32"/>
  <c r="AY32"/>
  <c r="AZ32"/>
  <c r="BA32"/>
  <c r="BE32"/>
  <c r="BF32"/>
  <c r="BG32"/>
  <c r="BH32"/>
  <c r="CC32"/>
  <c r="M33"/>
  <c r="O33"/>
  <c r="W33"/>
  <c r="X33"/>
  <c r="T33"/>
  <c r="U33"/>
  <c r="AE33"/>
  <c r="AI33"/>
  <c r="AM33"/>
  <c r="AN33"/>
  <c r="AO33"/>
  <c r="AP33"/>
  <c r="AV33"/>
  <c r="AW33"/>
  <c r="BW33"/>
  <c r="BE33"/>
  <c r="BF33"/>
  <c r="BG33"/>
  <c r="BH33"/>
  <c r="CC33"/>
  <c r="M34"/>
  <c r="BD34"/>
  <c r="T34"/>
  <c r="U34"/>
  <c r="AE34"/>
  <c r="AI34"/>
  <c r="AJ34"/>
  <c r="AN34"/>
  <c r="AM34"/>
  <c r="AO34"/>
  <c r="AP34"/>
  <c r="AV34"/>
  <c r="AW34"/>
  <c r="BY34"/>
  <c r="BE34"/>
  <c r="BF34"/>
  <c r="BG34"/>
  <c r="BH34"/>
  <c r="CC34"/>
  <c r="M35"/>
  <c r="BD35"/>
  <c r="T35"/>
  <c r="U35"/>
  <c r="AE35"/>
  <c r="AI35"/>
  <c r="AM35"/>
  <c r="AN35"/>
  <c r="AO35"/>
  <c r="AP35"/>
  <c r="AV35"/>
  <c r="AW35"/>
  <c r="AY35"/>
  <c r="AZ35"/>
  <c r="BA35"/>
  <c r="BE35"/>
  <c r="BF35"/>
  <c r="BG35"/>
  <c r="BH35"/>
  <c r="CC35"/>
  <c r="M36"/>
  <c r="BD36"/>
  <c r="T36"/>
  <c r="U36"/>
  <c r="AE36"/>
  <c r="AI36"/>
  <c r="AM36"/>
  <c r="AN36"/>
  <c r="AO36"/>
  <c r="AP36"/>
  <c r="AV36"/>
  <c r="AW36"/>
  <c r="AY36"/>
  <c r="AZ36"/>
  <c r="BA36"/>
  <c r="BG36"/>
  <c r="BI36"/>
  <c r="BH36"/>
  <c r="CC36"/>
  <c r="M37"/>
  <c r="O37"/>
  <c r="T37"/>
  <c r="U37"/>
  <c r="U25"/>
  <c r="AE37"/>
  <c r="AE25"/>
  <c r="AI37"/>
  <c r="AI25"/>
  <c r="AM37"/>
  <c r="AM25"/>
  <c r="AN37"/>
  <c r="AN25"/>
  <c r="AO37"/>
  <c r="AO25"/>
  <c r="AP37"/>
  <c r="AP25"/>
  <c r="AV37"/>
  <c r="AV25"/>
  <c r="AW37"/>
  <c r="AW25"/>
  <c r="BG37"/>
  <c r="BG25"/>
  <c r="BH37"/>
  <c r="BY37"/>
  <c r="BY25"/>
  <c r="CC37"/>
  <c r="CC25"/>
  <c r="K38"/>
  <c r="L38"/>
  <c r="N38"/>
  <c r="P38"/>
  <c r="Q38"/>
  <c r="R38"/>
  <c r="S38"/>
  <c r="V38"/>
  <c r="AB38"/>
  <c r="AC38"/>
  <c r="AD38"/>
  <c r="AF38"/>
  <c r="AG38"/>
  <c r="AH38"/>
  <c r="AJ38"/>
  <c r="AK38"/>
  <c r="AL38"/>
  <c r="AS38"/>
  <c r="AT38"/>
  <c r="AU38"/>
  <c r="AV38"/>
  <c r="AX38"/>
  <c r="BB38"/>
  <c r="BC38"/>
  <c r="BE38"/>
  <c r="BF38"/>
  <c r="BL38"/>
  <c r="BM38"/>
  <c r="BN38"/>
  <c r="BO38"/>
  <c r="BP38"/>
  <c r="BT38"/>
  <c r="BU38"/>
  <c r="BZ38"/>
  <c r="CA38"/>
  <c r="CB38"/>
  <c r="CC38"/>
  <c r="CD38"/>
  <c r="CE38"/>
  <c r="CF38"/>
  <c r="M39"/>
  <c r="BD39"/>
  <c r="T39"/>
  <c r="U39"/>
  <c r="AE39"/>
  <c r="AI39"/>
  <c r="AM39"/>
  <c r="AN39"/>
  <c r="AO39"/>
  <c r="AP39"/>
  <c r="AV39"/>
  <c r="AW39"/>
  <c r="BW39"/>
  <c r="BE39"/>
  <c r="BG39"/>
  <c r="BH39"/>
  <c r="M40"/>
  <c r="O40"/>
  <c r="W40"/>
  <c r="X40"/>
  <c r="T40"/>
  <c r="U40"/>
  <c r="AE40"/>
  <c r="AI40"/>
  <c r="AM40"/>
  <c r="AN40"/>
  <c r="AO40"/>
  <c r="AP40"/>
  <c r="AV40"/>
  <c r="AW40"/>
  <c r="AY40"/>
  <c r="AZ40"/>
  <c r="BA40"/>
  <c r="BG40"/>
  <c r="BH40"/>
  <c r="M41"/>
  <c r="O41"/>
  <c r="W41"/>
  <c r="X41"/>
  <c r="T41"/>
  <c r="U41"/>
  <c r="AE41"/>
  <c r="AI41"/>
  <c r="AM41"/>
  <c r="AN41"/>
  <c r="AO41"/>
  <c r="AP41"/>
  <c r="AV41"/>
  <c r="AW41"/>
  <c r="AY41"/>
  <c r="AZ41"/>
  <c r="BA41"/>
  <c r="BE41"/>
  <c r="BG41"/>
  <c r="BH41"/>
  <c r="M42"/>
  <c r="O42"/>
  <c r="W42"/>
  <c r="X42"/>
  <c r="T42"/>
  <c r="U42"/>
  <c r="AE42"/>
  <c r="AI42"/>
  <c r="AM42"/>
  <c r="AN42"/>
  <c r="AO42"/>
  <c r="AP42"/>
  <c r="AV42"/>
  <c r="AW42"/>
  <c r="BW42"/>
  <c r="BG42"/>
  <c r="BH42"/>
  <c r="M43"/>
  <c r="BD43"/>
  <c r="T43"/>
  <c r="U43"/>
  <c r="AE43"/>
  <c r="AI43"/>
  <c r="AJ43"/>
  <c r="AN43"/>
  <c r="AM43"/>
  <c r="AO43"/>
  <c r="AP43"/>
  <c r="AV43"/>
  <c r="AW43"/>
  <c r="BW43"/>
  <c r="BG43"/>
  <c r="BH43"/>
  <c r="M44"/>
  <c r="O44"/>
  <c r="W44"/>
  <c r="X44"/>
  <c r="T44"/>
  <c r="U44"/>
  <c r="AE44"/>
  <c r="AI44"/>
  <c r="AM44"/>
  <c r="AN44"/>
  <c r="AO44"/>
  <c r="AP44"/>
  <c r="AV44"/>
  <c r="AW44"/>
  <c r="BW44"/>
  <c r="BG44"/>
  <c r="BH44"/>
  <c r="M45"/>
  <c r="BD45"/>
  <c r="T45"/>
  <c r="U45"/>
  <c r="AE45"/>
  <c r="AI45"/>
  <c r="AM45"/>
  <c r="AN45"/>
  <c r="AO45"/>
  <c r="AP45"/>
  <c r="AV45"/>
  <c r="AW45"/>
  <c r="BY45"/>
  <c r="BG45"/>
  <c r="BH45"/>
  <c r="M46"/>
  <c r="BD46"/>
  <c r="T46"/>
  <c r="U46"/>
  <c r="AE46"/>
  <c r="AI46"/>
  <c r="AM46"/>
  <c r="AN46"/>
  <c r="AO46"/>
  <c r="AP46"/>
  <c r="AW46"/>
  <c r="BY46"/>
  <c r="BF46"/>
  <c r="BG46"/>
  <c r="BH46"/>
  <c r="M47"/>
  <c r="O47"/>
  <c r="W47"/>
  <c r="X47"/>
  <c r="T47"/>
  <c r="U47"/>
  <c r="AE47"/>
  <c r="AI47"/>
  <c r="AM47"/>
  <c r="AN47"/>
  <c r="AO47"/>
  <c r="AP47"/>
  <c r="AV47"/>
  <c r="AW47"/>
  <c r="BW47"/>
  <c r="BG47"/>
  <c r="BH47"/>
  <c r="M48"/>
  <c r="BD48"/>
  <c r="T48"/>
  <c r="U48"/>
  <c r="AE48"/>
  <c r="AI48"/>
  <c r="AM48"/>
  <c r="AN48"/>
  <c r="AO48"/>
  <c r="AP48"/>
  <c r="AW48"/>
  <c r="BY48"/>
  <c r="BG48"/>
  <c r="BH48"/>
  <c r="M49"/>
  <c r="BD49"/>
  <c r="T49"/>
  <c r="U49"/>
  <c r="AE49"/>
  <c r="AI49"/>
  <c r="AM49"/>
  <c r="AN49"/>
  <c r="AO49"/>
  <c r="AP49"/>
  <c r="AW49"/>
  <c r="BY49"/>
  <c r="BG49"/>
  <c r="BI49"/>
  <c r="BH49"/>
  <c r="M50"/>
  <c r="M38"/>
  <c r="T50"/>
  <c r="U50"/>
  <c r="U38"/>
  <c r="AE50"/>
  <c r="AI50"/>
  <c r="AI38"/>
  <c r="AM50"/>
  <c r="AM38"/>
  <c r="AN50"/>
  <c r="AN38"/>
  <c r="AO50"/>
  <c r="AO38"/>
  <c r="AP50"/>
  <c r="AP38"/>
  <c r="AW50"/>
  <c r="BY50"/>
  <c r="BY38"/>
  <c r="BG50"/>
  <c r="BG38"/>
  <c r="BH50"/>
  <c r="M52"/>
  <c r="O52"/>
  <c r="W52"/>
  <c r="X52"/>
  <c r="T52"/>
  <c r="U52"/>
  <c r="AE52"/>
  <c r="AI52"/>
  <c r="AM52"/>
  <c r="AN52"/>
  <c r="AO52"/>
  <c r="AP52"/>
  <c r="AW52"/>
  <c r="BY52"/>
  <c r="BG52"/>
  <c r="BH52"/>
  <c r="M53"/>
  <c r="BD53"/>
  <c r="T53"/>
  <c r="U53"/>
  <c r="AE53"/>
  <c r="AI53"/>
  <c r="AM53"/>
  <c r="AN53"/>
  <c r="AO53"/>
  <c r="AP53"/>
  <c r="AW53"/>
  <c r="AY53"/>
  <c r="AZ53"/>
  <c r="BA53"/>
  <c r="BI53"/>
  <c r="M54"/>
  <c r="O54"/>
  <c r="W54"/>
  <c r="X54"/>
  <c r="T54"/>
  <c r="U54"/>
  <c r="AE54"/>
  <c r="AI54"/>
  <c r="AM54"/>
  <c r="AN54"/>
  <c r="AO54"/>
  <c r="AP54"/>
  <c r="AW54"/>
  <c r="AY54"/>
  <c r="AZ54"/>
  <c r="BA54"/>
  <c r="BI54"/>
  <c r="M55"/>
  <c r="O55"/>
  <c r="W55"/>
  <c r="X55"/>
  <c r="T55"/>
  <c r="U55"/>
  <c r="AE55"/>
  <c r="AI55"/>
  <c r="AM55"/>
  <c r="AN55"/>
  <c r="AO55"/>
  <c r="AP55"/>
  <c r="AW55"/>
  <c r="BY55"/>
  <c r="BI55"/>
  <c r="M56"/>
  <c r="BD56"/>
  <c r="T56"/>
  <c r="U56"/>
  <c r="AE56"/>
  <c r="AI56"/>
  <c r="AM56"/>
  <c r="AN56"/>
  <c r="AO56"/>
  <c r="AP56"/>
  <c r="AW56"/>
  <c r="BW56"/>
  <c r="BI56"/>
  <c r="M57"/>
  <c r="O57"/>
  <c r="W57"/>
  <c r="X57"/>
  <c r="T57"/>
  <c r="U57"/>
  <c r="AE57"/>
  <c r="AI57"/>
  <c r="AN57"/>
  <c r="AO57"/>
  <c r="AP57"/>
  <c r="AW57"/>
  <c r="BY57"/>
  <c r="BI57"/>
  <c r="L62" i="3"/>
  <c r="N62"/>
  <c r="O62"/>
  <c r="O56" i="6"/>
  <c r="W56"/>
  <c r="G29" i="36"/>
  <c r="BD17" i="1"/>
  <c r="O18" i="6"/>
  <c r="W18"/>
  <c r="O57"/>
  <c r="W57"/>
  <c r="L25" i="7"/>
  <c r="AO54"/>
  <c r="AP54" s="1"/>
  <c r="K43"/>
  <c r="AM38"/>
  <c r="K35"/>
  <c r="K29"/>
  <c r="AO32"/>
  <c r="AP32" s="1"/>
  <c r="K55"/>
  <c r="K45"/>
  <c r="AO31"/>
  <c r="AP31" s="1"/>
  <c r="F38"/>
  <c r="K42"/>
  <c r="K38"/>
  <c r="K34"/>
  <c r="F25"/>
  <c r="K57"/>
  <c r="K36"/>
  <c r="K54"/>
  <c r="AO46"/>
  <c r="AP46" s="1"/>
  <c r="AO26"/>
  <c r="AP26" s="1"/>
  <c r="K58"/>
  <c r="AM25"/>
  <c r="K44"/>
  <c r="AN39"/>
  <c r="AN38" s="1"/>
  <c r="K47"/>
  <c r="L38"/>
  <c r="L50" i="36"/>
  <c r="T52" i="5"/>
  <c r="T50"/>
  <c r="T55"/>
  <c r="T46"/>
  <c r="T51"/>
  <c r="Q35"/>
  <c r="S47"/>
  <c r="S35"/>
  <c r="T56"/>
  <c r="T47"/>
  <c r="T35"/>
  <c r="S55" i="38"/>
  <c r="Q56"/>
  <c r="D56" i="37"/>
  <c r="L56"/>
  <c r="P56"/>
  <c r="O56"/>
  <c r="N56"/>
  <c r="C56"/>
  <c r="K56"/>
  <c r="S56"/>
  <c r="E56"/>
  <c r="B56"/>
  <c r="J56"/>
  <c r="R56"/>
  <c r="F56"/>
  <c r="U55"/>
  <c r="I56"/>
  <c r="H56"/>
  <c r="G56"/>
  <c r="M56"/>
  <c r="Q56"/>
  <c r="N56" i="38"/>
  <c r="R56"/>
  <c r="D56"/>
  <c r="I56"/>
  <c r="M56"/>
  <c r="E56"/>
  <c r="S56"/>
  <c r="K56"/>
  <c r="P56"/>
  <c r="J56"/>
  <c r="B56"/>
  <c r="O56"/>
  <c r="G56"/>
  <c r="C56"/>
  <c r="F56"/>
  <c r="L56"/>
  <c r="H56"/>
  <c r="W60" i="6"/>
  <c r="O23"/>
  <c r="W23"/>
  <c r="W24"/>
  <c r="E23"/>
  <c r="L28" i="36"/>
  <c r="L16"/>
  <c r="BY32" i="1"/>
  <c r="K16" i="51"/>
  <c r="J39"/>
  <c r="L51" i="35"/>
  <c r="T38" i="1"/>
  <c r="AY29"/>
  <c r="AZ29"/>
  <c r="BA29"/>
  <c r="BD54"/>
  <c r="BW37"/>
  <c r="BW25"/>
  <c r="BW41"/>
  <c r="BW49"/>
  <c r="BY60"/>
  <c r="BW60"/>
  <c r="BH25"/>
  <c r="AY49"/>
  <c r="AZ49"/>
  <c r="BA49"/>
  <c r="O43"/>
  <c r="W43"/>
  <c r="X43"/>
  <c r="BY29"/>
  <c r="BY58"/>
  <c r="AY58"/>
  <c r="AZ58"/>
  <c r="BA58"/>
  <c r="BY63"/>
  <c r="O55" i="3"/>
  <c r="O43"/>
  <c r="T26" i="5"/>
  <c r="T24"/>
  <c r="Q34"/>
  <c r="T14"/>
  <c r="T10"/>
  <c r="Q60"/>
  <c r="S60"/>
  <c r="T60"/>
  <c r="K38" i="51"/>
  <c r="K26"/>
  <c r="L18" i="35"/>
  <c r="L8"/>
  <c r="L34"/>
  <c r="L25"/>
  <c r="L21"/>
  <c r="L17"/>
  <c r="L53"/>
  <c r="L33"/>
  <c r="L40"/>
  <c r="L38"/>
  <c r="L45"/>
  <c r="L27"/>
  <c r="L23"/>
  <c r="L19"/>
  <c r="L36"/>
  <c r="L35"/>
  <c r="L11"/>
  <c r="L28"/>
  <c r="L16" s="1"/>
  <c r="N42" i="3"/>
  <c r="N30"/>
  <c r="L30"/>
  <c r="O42"/>
  <c r="O30"/>
  <c r="BD29" i="1"/>
  <c r="BD26"/>
  <c r="BX65"/>
  <c r="BV65"/>
  <c r="AY55"/>
  <c r="AZ55"/>
  <c r="BA55"/>
  <c r="AQ54"/>
  <c r="BV54"/>
  <c r="BW61"/>
  <c r="BD44"/>
  <c r="BD13"/>
  <c r="BD65"/>
  <c r="BI39"/>
  <c r="BV32"/>
  <c r="AM28"/>
  <c r="O61"/>
  <c r="W61"/>
  <c r="X61"/>
  <c r="AQ60"/>
  <c r="BX60"/>
  <c r="AQ59"/>
  <c r="BX59"/>
  <c r="BW48"/>
  <c r="AY37"/>
  <c r="AZ37"/>
  <c r="AZ25"/>
  <c r="AQ11"/>
  <c r="BW52"/>
  <c r="AY47"/>
  <c r="AZ47"/>
  <c r="BA47"/>
  <c r="AY44"/>
  <c r="AZ44"/>
  <c r="BA44"/>
  <c r="BW45"/>
  <c r="BY53"/>
  <c r="AQ52"/>
  <c r="BV52"/>
  <c r="BI41"/>
  <c r="BI26"/>
  <c r="AQ26"/>
  <c r="BV26"/>
  <c r="AQ9"/>
  <c r="BW59"/>
  <c r="O34"/>
  <c r="W34"/>
  <c r="X34"/>
  <c r="AY48"/>
  <c r="AZ48"/>
  <c r="BA48"/>
  <c r="BI44"/>
  <c r="AQ42"/>
  <c r="BX42"/>
  <c r="BI40"/>
  <c r="AQ29"/>
  <c r="BX29"/>
  <c r="AI28"/>
  <c r="AQ28"/>
  <c r="AY52"/>
  <c r="AZ52"/>
  <c r="BA52"/>
  <c r="AY28"/>
  <c r="AZ28"/>
  <c r="BA28"/>
  <c r="BY36"/>
  <c r="BW36"/>
  <c r="BI48"/>
  <c r="AQ48"/>
  <c r="BV48"/>
  <c r="AQ15"/>
  <c r="AQ10"/>
  <c r="BD52"/>
  <c r="AQ57"/>
  <c r="BX57"/>
  <c r="BW30"/>
  <c r="AQ56"/>
  <c r="BX56"/>
  <c r="AP28"/>
  <c r="BW31"/>
  <c r="BY43"/>
  <c r="BW46"/>
  <c r="BW53"/>
  <c r="BW28"/>
  <c r="BD55"/>
  <c r="AQ40"/>
  <c r="BV40"/>
  <c r="AQ36"/>
  <c r="BX36"/>
  <c r="BI42"/>
  <c r="BY30"/>
  <c r="AY46"/>
  <c r="AZ46"/>
  <c r="BA46"/>
  <c r="AQ50"/>
  <c r="BV50"/>
  <c r="BV38"/>
  <c r="AQ44"/>
  <c r="BV44"/>
  <c r="AQ34"/>
  <c r="BX34"/>
  <c r="BI33"/>
  <c r="AQ33"/>
  <c r="BX33"/>
  <c r="BI32"/>
  <c r="BI31"/>
  <c r="BY35"/>
  <c r="BD40"/>
  <c r="AQ19"/>
  <c r="BX19"/>
  <c r="O14"/>
  <c r="W14"/>
  <c r="X14"/>
  <c r="Z14"/>
  <c r="BW35"/>
  <c r="AQ55"/>
  <c r="BX55"/>
  <c r="AQ47"/>
  <c r="BV47"/>
  <c r="BI43"/>
  <c r="AQ43"/>
  <c r="BX43"/>
  <c r="AQ18"/>
  <c r="BV18"/>
  <c r="BD63"/>
  <c r="AQ61"/>
  <c r="BV61"/>
  <c r="BX48"/>
  <c r="BD27"/>
  <c r="BD47"/>
  <c r="T25"/>
  <c r="AQ16"/>
  <c r="AY63"/>
  <c r="AZ63"/>
  <c r="BA63"/>
  <c r="AW38"/>
  <c r="BD15"/>
  <c r="BD50"/>
  <c r="BD38"/>
  <c r="AY31"/>
  <c r="AZ31"/>
  <c r="BA31"/>
  <c r="BW54"/>
  <c r="AQ53"/>
  <c r="BV53"/>
  <c r="BI50"/>
  <c r="BI38"/>
  <c r="BI47"/>
  <c r="AQ45"/>
  <c r="BX45"/>
  <c r="O35"/>
  <c r="W35"/>
  <c r="X35"/>
  <c r="BD31"/>
  <c r="AQ27"/>
  <c r="BX27"/>
  <c r="AQ14"/>
  <c r="AQ58"/>
  <c r="BX58"/>
  <c r="AQ62"/>
  <c r="BX62"/>
  <c r="BI34"/>
  <c r="BV42"/>
  <c r="BY47"/>
  <c r="BD57"/>
  <c r="AY43"/>
  <c r="AZ43"/>
  <c r="BA43"/>
  <c r="O49"/>
  <c r="W49"/>
  <c r="X49"/>
  <c r="AY34"/>
  <c r="AZ34"/>
  <c r="BA34"/>
  <c r="BW50"/>
  <c r="BW38"/>
  <c r="BD62"/>
  <c r="AQ49"/>
  <c r="BV49"/>
  <c r="BI46"/>
  <c r="AQ39"/>
  <c r="BV39"/>
  <c r="AQ35"/>
  <c r="BV35"/>
  <c r="AQ31"/>
  <c r="BV31"/>
  <c r="AO28"/>
  <c r="BI27"/>
  <c r="AQ63"/>
  <c r="BX63"/>
  <c r="BI45"/>
  <c r="AY39"/>
  <c r="AZ39"/>
  <c r="BA39"/>
  <c r="AY45"/>
  <c r="AZ45"/>
  <c r="BA45"/>
  <c r="BY39"/>
  <c r="BI52"/>
  <c r="AQ46"/>
  <c r="BV46"/>
  <c r="AQ41"/>
  <c r="BX41"/>
  <c r="BI37"/>
  <c r="BI25"/>
  <c r="BI35"/>
  <c r="BI30"/>
  <c r="AQ30"/>
  <c r="BX30"/>
  <c r="BI29"/>
  <c r="BI28"/>
  <c r="AQ17"/>
  <c r="AQ13"/>
  <c r="BV41"/>
  <c r="BX54"/>
  <c r="W37"/>
  <c r="O25"/>
  <c r="AQ38"/>
  <c r="BX50"/>
  <c r="BX38"/>
  <c r="BX40"/>
  <c r="O50"/>
  <c r="AQ37"/>
  <c r="BW40"/>
  <c r="AY57"/>
  <c r="AZ57"/>
  <c r="BA57"/>
  <c r="O60"/>
  <c r="W60"/>
  <c r="X60"/>
  <c r="BY54"/>
  <c r="BW57"/>
  <c r="AY56"/>
  <c r="AZ56"/>
  <c r="BA56"/>
  <c r="BH38"/>
  <c r="AE38"/>
  <c r="O45"/>
  <c r="W45"/>
  <c r="X45"/>
  <c r="BD42"/>
  <c r="BY40"/>
  <c r="O39"/>
  <c r="W39"/>
  <c r="X39"/>
  <c r="O36"/>
  <c r="W36"/>
  <c r="X36"/>
  <c r="BY33"/>
  <c r="BD28"/>
  <c r="O16"/>
  <c r="W16"/>
  <c r="X16"/>
  <c r="Z16"/>
  <c r="O12"/>
  <c r="BD59"/>
  <c r="BX44"/>
  <c r="BW62"/>
  <c r="BW55"/>
  <c r="BD30"/>
  <c r="BY56"/>
  <c r="O11"/>
  <c r="W11"/>
  <c r="X11"/>
  <c r="Z11"/>
  <c r="BY41"/>
  <c r="BY61"/>
  <c r="BD9"/>
  <c r="O46"/>
  <c r="W46"/>
  <c r="X46"/>
  <c r="BD32"/>
  <c r="BD33"/>
  <c r="BD41"/>
  <c r="BD8"/>
  <c r="BY44"/>
  <c r="AY42"/>
  <c r="AZ42"/>
  <c r="BA42"/>
  <c r="AY62"/>
  <c r="AZ62"/>
  <c r="BA62"/>
  <c r="O56"/>
  <c r="W56"/>
  <c r="X56"/>
  <c r="AY50"/>
  <c r="BD37"/>
  <c r="BD25"/>
  <c r="BW32"/>
  <c r="BD19"/>
  <c r="BD18"/>
  <c r="O58"/>
  <c r="W58"/>
  <c r="X58"/>
  <c r="AY59"/>
  <c r="AZ59"/>
  <c r="BA59"/>
  <c r="BD10"/>
  <c r="BY42"/>
  <c r="BW34"/>
  <c r="BX32"/>
  <c r="M25"/>
  <c r="AY33"/>
  <c r="AZ33"/>
  <c r="BA33"/>
  <c r="O53"/>
  <c r="W53"/>
  <c r="X53"/>
  <c r="O48"/>
  <c r="W48"/>
  <c r="X48"/>
  <c r="S34" i="5"/>
  <c r="Q22"/>
  <c r="BV36" i="1"/>
  <c r="BA37"/>
  <c r="BA25"/>
  <c r="BV60"/>
  <c r="AY25"/>
  <c r="BV57"/>
  <c r="BX35"/>
  <c r="BX61"/>
  <c r="BV59"/>
  <c r="BX53"/>
  <c r="BX52"/>
  <c r="BX26"/>
  <c r="BV27"/>
  <c r="BX47"/>
  <c r="BV29"/>
  <c r="BV34"/>
  <c r="BV30"/>
  <c r="BV62"/>
  <c r="BV58"/>
  <c r="BV56"/>
  <c r="BX49"/>
  <c r="BV55"/>
  <c r="BV43"/>
  <c r="BV63"/>
  <c r="BX39"/>
  <c r="BX31"/>
  <c r="BV33"/>
  <c r="BV19"/>
  <c r="BX46"/>
  <c r="BV45"/>
  <c r="BX37"/>
  <c r="BX25"/>
  <c r="AQ25"/>
  <c r="BV37"/>
  <c r="BV25"/>
  <c r="BX28"/>
  <c r="BV28"/>
  <c r="W25"/>
  <c r="X37"/>
  <c r="X25"/>
  <c r="O38"/>
  <c r="W50"/>
  <c r="AZ50"/>
  <c r="AY38"/>
  <c r="T34" i="5"/>
  <c r="T22"/>
  <c r="S22"/>
  <c r="W38" i="1"/>
  <c r="X50"/>
  <c r="X38"/>
  <c r="BA50"/>
  <c r="BA38"/>
  <c r="AZ38"/>
  <c r="K39" i="33"/>
  <c r="O28" i="6"/>
  <c r="W29"/>
  <c r="W28"/>
  <c r="L58" i="38"/>
  <c r="J58"/>
  <c r="Q58"/>
  <c r="I58"/>
  <c r="C58"/>
  <c r="B58"/>
  <c r="U57"/>
  <c r="S58"/>
  <c r="R58"/>
  <c r="K58"/>
  <c r="P58"/>
  <c r="G58"/>
  <c r="O58"/>
  <c r="H58"/>
  <c r="F58"/>
  <c r="N58"/>
  <c r="E58"/>
  <c r="M58"/>
  <c r="D58"/>
  <c r="K58" i="37"/>
  <c r="N58"/>
  <c r="U57"/>
  <c r="M58"/>
  <c r="I58"/>
  <c r="H58"/>
  <c r="G58"/>
  <c r="C58"/>
  <c r="F58"/>
  <c r="J58"/>
  <c r="L58"/>
  <c r="S58"/>
  <c r="R58"/>
  <c r="Q58"/>
  <c r="D58"/>
  <c r="E58"/>
  <c r="P58"/>
  <c r="O58"/>
  <c r="E55" i="50"/>
  <c r="AY67" i="1"/>
  <c r="AZ67"/>
  <c r="BA67"/>
  <c r="BV67"/>
  <c r="BW67"/>
  <c r="K67" i="7"/>
  <c r="U50" i="45" l="1"/>
  <c r="U37"/>
  <c r="U24"/>
  <c r="AP17" i="7"/>
  <c r="AP14"/>
  <c r="AP11"/>
  <c r="AP8"/>
  <c r="K25"/>
  <c r="AO39"/>
  <c r="K51"/>
  <c r="AO50"/>
  <c r="AP50" s="1"/>
  <c r="AO49"/>
  <c r="AP49" s="1"/>
  <c r="AO48"/>
  <c r="AP48" s="1"/>
  <c r="AO45"/>
  <c r="AP45" s="1"/>
  <c r="AO41"/>
  <c r="AP41" s="1"/>
  <c r="AO40"/>
  <c r="AP40" s="1"/>
  <c r="AO36"/>
  <c r="AP36" s="1"/>
  <c r="AO33"/>
  <c r="AP33" s="1"/>
  <c r="AP25" s="1"/>
  <c r="AP9"/>
  <c r="AO62"/>
  <c r="AP62" s="1"/>
  <c r="AO63"/>
  <c r="AP63" s="1"/>
  <c r="AO68"/>
  <c r="AP68" s="1"/>
  <c r="P51"/>
  <c r="P38"/>
  <c r="P25"/>
  <c r="AP12"/>
  <c r="AP10"/>
  <c r="AO58"/>
  <c r="AP58" s="1"/>
  <c r="AO60"/>
  <c r="AP60" s="1"/>
  <c r="AO66"/>
  <c r="AP66" s="1"/>
  <c r="AO67"/>
  <c r="AP67" s="1"/>
  <c r="AO70"/>
  <c r="AP70" s="1"/>
  <c r="AN51"/>
  <c r="AO35"/>
  <c r="AP35" s="1"/>
  <c r="AO61"/>
  <c r="AP61" s="1"/>
  <c r="AP7"/>
  <c r="AO25"/>
  <c r="AO52"/>
  <c r="L54" i="35"/>
  <c r="L42" s="1"/>
  <c r="L68" i="3"/>
  <c r="K69" i="7"/>
  <c r="AO38" l="1"/>
  <c r="AP39"/>
  <c r="AP38" s="1"/>
  <c r="AP52"/>
  <c r="AP51" s="1"/>
  <c r="AO51"/>
  <c r="N68" i="3"/>
  <c r="L56"/>
  <c r="N56" l="1"/>
  <c r="O68"/>
  <c r="O56" s="1"/>
</calcChain>
</file>

<file path=xl/sharedStrings.xml><?xml version="1.0" encoding="utf-8"?>
<sst xmlns="http://schemas.openxmlformats.org/spreadsheetml/2006/main" count="11059" uniqueCount="3003">
  <si>
    <t>(In million US$)</t>
  </si>
  <si>
    <t>04.02.09</t>
  </si>
  <si>
    <t>04.02.19</t>
  </si>
  <si>
    <t>04.03.09</t>
  </si>
  <si>
    <t>04.03.19</t>
  </si>
  <si>
    <t>08.04.09</t>
  </si>
  <si>
    <t>08.04.19</t>
  </si>
  <si>
    <t>06.05.09</t>
  </si>
  <si>
    <t>06.05.19</t>
  </si>
  <si>
    <t>28.01.09</t>
  </si>
  <si>
    <t>03.06.09</t>
  </si>
  <si>
    <t>03.06.19</t>
  </si>
  <si>
    <t>25.02.09</t>
  </si>
  <si>
    <t>25.02.29</t>
  </si>
  <si>
    <t>08.07.09</t>
  </si>
  <si>
    <t>08.07.19</t>
  </si>
  <si>
    <t>25.03.09</t>
  </si>
  <si>
    <t>25.03.29</t>
  </si>
  <si>
    <t>05.08.09</t>
  </si>
  <si>
    <t>05.08.19</t>
  </si>
  <si>
    <t>29.04.09</t>
  </si>
  <si>
    <t>29.04.29</t>
  </si>
  <si>
    <t>02.09.09</t>
  </si>
  <si>
    <t>02.09.19</t>
  </si>
  <si>
    <t>27.05.09</t>
  </si>
  <si>
    <t>27.05.29</t>
  </si>
  <si>
    <t>24.06.09</t>
  </si>
  <si>
    <t>24.06.29</t>
  </si>
  <si>
    <t>29.07.09</t>
  </si>
  <si>
    <t>29.07.29</t>
  </si>
  <si>
    <t>26.08.09</t>
  </si>
  <si>
    <t>26.08.29</t>
  </si>
  <si>
    <t>Source :</t>
  </si>
  <si>
    <t>RATES OF INTEREST ON NON-RESIDENT FOREIGN CURRENCY DEPOSIT (NFCD) ACCOUNT                             PRIVATE BANKS</t>
  </si>
  <si>
    <t>RATES OF INTEREST ON NON-RESIDENT FOREIGN CURRENCY DEPOSIT (NFCD) ACCOUNT                              FOREIGN BANKS</t>
  </si>
  <si>
    <t>Clothing &amp; Footwear</t>
  </si>
  <si>
    <t>Gross rent, Fuel &amp; Lighting</t>
  </si>
  <si>
    <t>Medical care and Health Expenses</t>
  </si>
  <si>
    <t xml:space="preserve">GROSS DOMESTIC PRODUCT OF </t>
  </si>
  <si>
    <t xml:space="preserve"> Period</t>
  </si>
  <si>
    <t>DMBs Borrowings</t>
  </si>
  <si>
    <t>DMBs Deposits (Excluding BSBL &amp; Inter-Bank)</t>
  </si>
  <si>
    <t>(Taka in crore)</t>
  </si>
  <si>
    <t xml:space="preserve">i) </t>
  </si>
  <si>
    <t>Rate of Interest After Maturity (%)</t>
  </si>
  <si>
    <t>Particulars</t>
  </si>
  <si>
    <t>Rate of Interest After Maturity  (%)</t>
  </si>
  <si>
    <t>Savings Deposits:</t>
  </si>
  <si>
    <t>Fixed Deposits:</t>
  </si>
  <si>
    <t xml:space="preserve">                     </t>
  </si>
  <si>
    <t>Term Loan to Small Industry</t>
  </si>
  <si>
    <t>Net Profit After Tax</t>
  </si>
  <si>
    <t>Note:</t>
  </si>
  <si>
    <t>02.01.08</t>
  </si>
  <si>
    <t>06.02.08</t>
  </si>
  <si>
    <t>02.04.08</t>
  </si>
  <si>
    <t>07.05.08</t>
  </si>
  <si>
    <t>04.06.08</t>
  </si>
  <si>
    <t>02.07.08</t>
  </si>
  <si>
    <t>06.08.08</t>
  </si>
  <si>
    <t>03.09.08</t>
  </si>
  <si>
    <t>08.10.08</t>
  </si>
  <si>
    <t>05.11.08</t>
  </si>
  <si>
    <t>03.12.08</t>
  </si>
  <si>
    <t>07.01.09</t>
  </si>
  <si>
    <t>02.01.18</t>
  </si>
  <si>
    <t>06.02.18</t>
  </si>
  <si>
    <t>02.04.18</t>
  </si>
  <si>
    <t>07.05.18</t>
  </si>
  <si>
    <t>04.06.18</t>
  </si>
  <si>
    <t>02.07.18</t>
  </si>
  <si>
    <t>06.08.18</t>
  </si>
  <si>
    <t>03.09.18</t>
  </si>
  <si>
    <t>08.10.18</t>
  </si>
  <si>
    <t>05.11.18</t>
  </si>
  <si>
    <t>03.12.18</t>
  </si>
  <si>
    <t>07.01.19</t>
  </si>
  <si>
    <t>23.01.08</t>
  </si>
  <si>
    <t>27.02.08</t>
  </si>
  <si>
    <t>27.03.08</t>
  </si>
  <si>
    <t>23.04.08</t>
  </si>
  <si>
    <t>28.05.08</t>
  </si>
  <si>
    <t>25.06.08</t>
  </si>
  <si>
    <t>23.07.08</t>
  </si>
  <si>
    <t>27.08.08</t>
  </si>
  <si>
    <t>24.09.08</t>
  </si>
  <si>
    <t>29.10.08</t>
  </si>
  <si>
    <t>26.11.08</t>
  </si>
  <si>
    <t>24.12.08</t>
  </si>
  <si>
    <r>
      <t xml:space="preserve">United States </t>
    </r>
    <r>
      <rPr>
        <sz val="6"/>
        <color indexed="8"/>
        <rFont val="Times New Roman"/>
        <family val="1"/>
      </rPr>
      <t>(Rotterdam)</t>
    </r>
  </si>
  <si>
    <t>28.01.29</t>
  </si>
  <si>
    <t>23.01.28</t>
  </si>
  <si>
    <t>27.02.28</t>
  </si>
  <si>
    <t>27.03.28</t>
  </si>
  <si>
    <t>23.04.28</t>
  </si>
  <si>
    <t>28.05.28</t>
  </si>
  <si>
    <t>25.06.28</t>
  </si>
  <si>
    <t>23.07.28</t>
  </si>
  <si>
    <t>24.09.28</t>
  </si>
  <si>
    <t>29.10.28</t>
  </si>
  <si>
    <t>26.11.28</t>
  </si>
  <si>
    <t>24.12.28</t>
  </si>
  <si>
    <t>(Taka in Crore)</t>
  </si>
  <si>
    <t xml:space="preserve">Tk. in Crore </t>
  </si>
  <si>
    <t>-</t>
  </si>
  <si>
    <t>Mudaraba Short Term Deposits</t>
  </si>
  <si>
    <t>Mudaraba Hajj Savings Deposits :</t>
  </si>
  <si>
    <t>Cash Waqf.</t>
  </si>
  <si>
    <t>Chinese  Yuan</t>
  </si>
  <si>
    <t>  -</t>
  </si>
  <si>
    <t>29.03 </t>
  </si>
  <si>
    <t> 28.92</t>
  </si>
  <si>
    <t>53.96 </t>
  </si>
  <si>
    <t>57.00 </t>
  </si>
  <si>
    <t> 143.50</t>
  </si>
  <si>
    <t> 151.21</t>
  </si>
  <si>
    <t> 35.54</t>
  </si>
  <si>
    <t> 37.66</t>
  </si>
  <si>
    <t>6.52 </t>
  </si>
  <si>
    <t>  6.89</t>
  </si>
  <si>
    <t> 6.46</t>
  </si>
  <si>
    <t> 6.49</t>
  </si>
  <si>
    <t>RATES OF INTEREST ON NON-RESIDENT FOREIGN CURRENCY DEPOSIT (NFCD) ACCOUNT                                       STATE OWNED COMMERCIAL BANKS</t>
  </si>
  <si>
    <t> 48.21</t>
  </si>
  <si>
    <t> 48.43</t>
  </si>
  <si>
    <t> 5.29</t>
  </si>
  <si>
    <t>6.92 </t>
  </si>
  <si>
    <t> 7.31</t>
  </si>
  <si>
    <t> 1.16</t>
  </si>
  <si>
    <t> 1.21</t>
  </si>
  <si>
    <t> 0.01</t>
  </si>
  <si>
    <t>0.03 </t>
  </si>
  <si>
    <t> 0.03</t>
  </si>
  <si>
    <t>Hong Kong Dollar</t>
  </si>
  <si>
    <t>Japanese Yen</t>
  </si>
  <si>
    <t>  0.47</t>
  </si>
  <si>
    <t>0.46 </t>
  </si>
  <si>
    <t>175.59 </t>
  </si>
  <si>
    <t>185.22 </t>
  </si>
  <si>
    <t>14.19 </t>
  </si>
  <si>
    <t>15.00 </t>
  </si>
  <si>
    <t> 8.16</t>
  </si>
  <si>
    <t> 8.36</t>
  </si>
  <si>
    <t> 0.73</t>
  </si>
  <si>
    <t> 0.76</t>
  </si>
  <si>
    <t>22.91 </t>
  </si>
  <si>
    <t> 23.16</t>
  </si>
  <si>
    <t> 6.12</t>
  </si>
  <si>
    <t>  0.65</t>
  </si>
  <si>
    <t>0.63 </t>
  </si>
  <si>
    <t xml:space="preserve">1993-94 </t>
  </si>
  <si>
    <t xml:space="preserve">1994-95 </t>
  </si>
  <si>
    <t xml:space="preserve">1995-96 </t>
  </si>
  <si>
    <t xml:space="preserve">1996-97 </t>
  </si>
  <si>
    <t xml:space="preserve">1997-98 </t>
  </si>
  <si>
    <t xml:space="preserve">1998-99 </t>
  </si>
  <si>
    <t xml:space="preserve">1999-00 </t>
  </si>
  <si>
    <t> 31.49</t>
  </si>
  <si>
    <t> 31.78</t>
  </si>
  <si>
    <t> 1.02</t>
  </si>
  <si>
    <t> 1.07</t>
  </si>
  <si>
    <t> 71.26</t>
  </si>
  <si>
    <t> 71.00</t>
  </si>
  <si>
    <t> 1.26</t>
  </si>
  <si>
    <t> 14.70</t>
  </si>
  <si>
    <t> 15.52</t>
  </si>
  <si>
    <t>  53.96</t>
  </si>
  <si>
    <t>78.32 </t>
  </si>
  <si>
    <t> 80.70</t>
  </si>
  <si>
    <t xml:space="preserve">Year/Month </t>
  </si>
  <si>
    <t xml:space="preserve">No. of Persons </t>
  </si>
  <si>
    <t xml:space="preserve">Remittances </t>
  </si>
  <si>
    <t> 1088.72</t>
  </si>
  <si>
    <t> 1197.63</t>
  </si>
  <si>
    <t> 1217.06</t>
  </si>
  <si>
    <t> 1475.42</t>
  </si>
  <si>
    <t> 1525.43</t>
  </si>
  <si>
    <t> 1705.74</t>
  </si>
  <si>
    <t>1882.10 </t>
  </si>
  <si>
    <t>Saudi Arabia</t>
  </si>
  <si>
    <t>U.A.E.</t>
  </si>
  <si>
    <t>U.K.</t>
  </si>
  <si>
    <t>Kuwait</t>
  </si>
  <si>
    <t>U.S.A.</t>
  </si>
  <si>
    <t>Libya</t>
  </si>
  <si>
    <t>Qatar</t>
  </si>
  <si>
    <t>Oman</t>
  </si>
  <si>
    <t>Singapore</t>
  </si>
  <si>
    <t>Germany</t>
  </si>
  <si>
    <t>Bahrain</t>
  </si>
  <si>
    <t>Iran</t>
  </si>
  <si>
    <t>Japan</t>
  </si>
  <si>
    <t>Other Countries</t>
  </si>
  <si>
    <t>Total Income</t>
  </si>
  <si>
    <t>Total Expenditure</t>
  </si>
  <si>
    <t>Bangladesh Bank (Central Bank)</t>
  </si>
  <si>
    <t>Specialized Banks</t>
  </si>
  <si>
    <t>Total Manpower</t>
  </si>
  <si>
    <t>  14.22</t>
  </si>
  <si>
    <t>1 month</t>
  </si>
  <si>
    <t>1 year</t>
  </si>
  <si>
    <t>Pound Sterling</t>
  </si>
  <si>
    <t>  4.82</t>
  </si>
  <si>
    <t>5.09 </t>
  </si>
  <si>
    <t>4.60 </t>
  </si>
  <si>
    <t>5.16 </t>
  </si>
  <si>
    <t>4.65 </t>
  </si>
  <si>
    <t>5.08 </t>
  </si>
  <si>
    <t>4.52 </t>
  </si>
  <si>
    <t>5.17 </t>
  </si>
  <si>
    <t> 4.87</t>
  </si>
  <si>
    <t>4.78 </t>
  </si>
  <si>
    <t>4.86 </t>
  </si>
  <si>
    <t>4.87 </t>
  </si>
  <si>
    <t>4.77 </t>
  </si>
  <si>
    <t>4.95 </t>
  </si>
  <si>
    <t>4.93 </t>
  </si>
  <si>
    <t>4.97 </t>
  </si>
  <si>
    <t>  3.71</t>
  </si>
  <si>
    <t>4.20 </t>
  </si>
  <si>
    <t>2009-10</t>
  </si>
  <si>
    <t>3.82 </t>
  </si>
  <si>
    <t>4.16 </t>
  </si>
  <si>
    <t>4.36 </t>
  </si>
  <si>
    <t>3.84 </t>
  </si>
  <si>
    <t>4.11 </t>
  </si>
  <si>
    <t xml:space="preserve">2002-03 </t>
  </si>
  <si>
    <t>A.</t>
  </si>
  <si>
    <t>Bank Rate</t>
  </si>
  <si>
    <t>C.</t>
  </si>
  <si>
    <t>2008-09</t>
  </si>
  <si>
    <t>    </t>
  </si>
  <si>
    <t>Engineering </t>
  </si>
  <si>
    <t>Fuel and Power</t>
  </si>
  <si>
    <t>Jute Industries</t>
  </si>
  <si>
    <t>Paper and Printing</t>
  </si>
  <si>
    <t>Exports</t>
  </si>
  <si>
    <t>Services and Real Estate</t>
  </si>
  <si>
    <t>Cement Industries</t>
  </si>
  <si>
    <t>Total Market Capitalisation</t>
  </si>
  <si>
    <t xml:space="preserve">2003-04 </t>
  </si>
  <si>
    <t>Retail Market Price of Dhaka City</t>
  </si>
  <si>
    <t>Hides and Skins (wholesale)</t>
  </si>
  <si>
    <t>Inflation (Food)</t>
  </si>
  <si>
    <t>Inflation (Non-food)</t>
  </si>
  <si>
    <t>Point -to- Point</t>
  </si>
  <si>
    <t>12- Month Average</t>
  </si>
  <si>
    <t>First Security Islami Bank Ltd.</t>
  </si>
  <si>
    <t xml:space="preserve">Social Islami Bank </t>
  </si>
  <si>
    <t xml:space="preserve">Al-Arafah Bank </t>
  </si>
  <si>
    <t xml:space="preserve">Islami Bank BD. Ltd. </t>
  </si>
  <si>
    <t xml:space="preserve">ICB Islamic Bank Ltd. </t>
  </si>
  <si>
    <t xml:space="preserve">Shahjalal  Islami Bank Ltd.  </t>
  </si>
  <si>
    <t xml:space="preserve">Bank Al- Falah Ltd. </t>
  </si>
  <si>
    <t xml:space="preserve">EXIM Bank  Ltd. </t>
  </si>
  <si>
    <t>State Owned Commercial Banks</t>
  </si>
  <si>
    <t>5 years</t>
  </si>
  <si>
    <t>8 years</t>
  </si>
  <si>
    <t>Double Benefit Scheme</t>
  </si>
  <si>
    <t>Triple Benefit Scheme</t>
  </si>
  <si>
    <t>Mudaraba Steady Money</t>
  </si>
  <si>
    <t>Mudaraba Super Savings</t>
  </si>
  <si>
    <t>Mudaraba Multi Plus Savings</t>
  </si>
  <si>
    <t>Mudaraba Smart Saver Deposits</t>
  </si>
  <si>
    <t>Mudaraba Lakhopati Deposits Scheme</t>
  </si>
  <si>
    <t>Mudaraba Future Deposits Scheme</t>
  </si>
  <si>
    <t>Mudaraba Housing  Savings Scheme</t>
  </si>
  <si>
    <t>Children Savings Scheme</t>
  </si>
  <si>
    <t>Point -to-Point</t>
  </si>
  <si>
    <t>Jute goods (including Carpet)</t>
  </si>
  <si>
    <t>Tea</t>
  </si>
  <si>
    <t>Fish &amp; Shrimp</t>
  </si>
  <si>
    <t>80202</t>
  </si>
  <si>
    <t>19790</t>
  </si>
  <si>
    <t>6152</t>
  </si>
  <si>
    <t>93901</t>
  </si>
  <si>
    <t>6070</t>
  </si>
  <si>
    <t>43854</t>
  </si>
  <si>
    <t>78220</t>
  </si>
  <si>
    <t>3889</t>
  </si>
  <si>
    <t>56907</t>
  </si>
  <si>
    <t>8955</t>
  </si>
  <si>
    <t>38058</t>
  </si>
  <si>
    <t>14427</t>
  </si>
  <si>
    <t>13532</t>
  </si>
  <si>
    <t>11819</t>
  </si>
  <si>
    <t>545822</t>
  </si>
  <si>
    <t>INDUSTRIAL COMMODITIES</t>
  </si>
  <si>
    <t xml:space="preserve">August </t>
  </si>
  <si>
    <t>Clinker</t>
  </si>
  <si>
    <t>Dyeing &amp; Tanning Materials</t>
  </si>
  <si>
    <t>Cotton</t>
  </si>
  <si>
    <t>  759</t>
  </si>
  <si>
    <t>  775</t>
  </si>
  <si>
    <t>  929</t>
  </si>
  <si>
    <t>  917</t>
  </si>
  <si>
    <t>  1159</t>
  </si>
  <si>
    <t>  1411</t>
  </si>
  <si>
    <t>  1435</t>
  </si>
  <si>
    <t>  1627</t>
  </si>
  <si>
    <t>  2161</t>
  </si>
  <si>
    <t xml:space="preserve"> 2003-04 </t>
  </si>
  <si>
    <t xml:space="preserve">2004-05 </t>
  </si>
  <si>
    <t> 1355</t>
  </si>
  <si>
    <t>  1050</t>
  </si>
  <si>
    <t>2157 </t>
  </si>
  <si>
    <t>7735 </t>
  </si>
  <si>
    <t>3141 </t>
  </si>
  <si>
    <t>253 </t>
  </si>
  <si>
    <t>2035 </t>
  </si>
  <si>
    <t> 2414</t>
  </si>
  <si>
    <t>6876 </t>
  </si>
  <si>
    <t xml:space="preserve">2005-06 </t>
  </si>
  <si>
    <t>Banking Sector</t>
  </si>
  <si>
    <t>TRADE</t>
  </si>
  <si>
    <t>FOREIGN</t>
  </si>
  <si>
    <t xml:space="preserve">PRODUCTION OF MAJOR </t>
  </si>
  <si>
    <t>AGRICULTURAL COMMODITIES</t>
  </si>
  <si>
    <t>Currency in Circulation</t>
  </si>
  <si>
    <t>From</t>
  </si>
  <si>
    <t>PAYMENTS</t>
  </si>
  <si>
    <t>BALANCE OF</t>
  </si>
  <si>
    <t>Monetary Aggregates</t>
  </si>
  <si>
    <t>Import and Inland Bills Purchased and Discounted</t>
  </si>
  <si>
    <t>ii) Inflow figures are recorded as during the period but stock figures are recorded as end period.</t>
  </si>
  <si>
    <t>14.61</t>
  </si>
  <si>
    <t>192</t>
  </si>
  <si>
    <t xml:space="preserve">SELECTED ECONOMIC </t>
  </si>
  <si>
    <t>INDICATORS  </t>
  </si>
  <si>
    <t>BB</t>
  </si>
  <si>
    <t>DMBs</t>
  </si>
  <si>
    <t>Advances &amp; Bills</t>
  </si>
  <si>
    <t>Percentage change over end of the last June</t>
  </si>
  <si>
    <t>Income Velocity of  Money</t>
  </si>
  <si>
    <t xml:space="preserve">  </t>
  </si>
  <si>
    <t>Credit (Net) to Gover- nment</t>
  </si>
  <si>
    <t>Credit to Other Public Sector</t>
  </si>
  <si>
    <t>Amounts</t>
  </si>
  <si>
    <t>Bank Rate </t>
  </si>
  <si>
    <t>2.90 </t>
  </si>
  <si>
    <t>2.60 </t>
  </si>
  <si>
    <t>Deposits</t>
  </si>
  <si>
    <t xml:space="preserve"> Advances </t>
  </si>
  <si>
    <t>19.66 </t>
  </si>
  <si>
    <t>19.25 </t>
  </si>
  <si>
    <t>16.87 </t>
  </si>
  <si>
    <t>17.65 </t>
  </si>
  <si>
    <t>16.60 </t>
  </si>
  <si>
    <t>195474.32 </t>
  </si>
  <si>
    <t>96.19 </t>
  </si>
  <si>
    <t>13.26 </t>
  </si>
  <si>
    <t>12.75 </t>
  </si>
  <si>
    <t>9.82 </t>
  </si>
  <si>
    <t>  -5.47</t>
  </si>
  <si>
    <t>0.24 </t>
  </si>
  <si>
    <t>9.48 </t>
  </si>
  <si>
    <t>15.59 </t>
  </si>
  <si>
    <t>248771.59 </t>
  </si>
  <si>
    <t>17.30 </t>
  </si>
  <si>
    <t>17.46 </t>
  </si>
  <si>
    <t>10.73 </t>
  </si>
  <si>
    <t>18.88 </t>
  </si>
  <si>
    <t>  14.16</t>
  </si>
  <si>
    <t>3388 </t>
  </si>
  <si>
    <t>19.44 </t>
  </si>
  <si>
    <t>19.23 </t>
  </si>
  <si>
    <t>TABLE- IV (Contd.)</t>
  </si>
  <si>
    <t>Market price (f.o.b.) of Raw Jute of Narayangonj</t>
  </si>
  <si>
    <t>Total Domestic credit</t>
  </si>
  <si>
    <t>End of period</t>
  </si>
  <si>
    <t>(Base:1995-96</t>
  </si>
  <si>
    <t>10.80 </t>
  </si>
  <si>
    <t>2506.6 </t>
  </si>
  <si>
    <t>34.5 </t>
  </si>
  <si>
    <t>13329.5 </t>
  </si>
  <si>
    <t>610.9 </t>
  </si>
  <si>
    <t>4648.2 </t>
  </si>
  <si>
    <t>1995.8 </t>
  </si>
  <si>
    <t>81649.6 </t>
  </si>
  <si>
    <t>3115.4 </t>
  </si>
  <si>
    <t>3390.6 </t>
  </si>
  <si>
    <t>3271.0 </t>
  </si>
  <si>
    <t>CITI  Bank  NA</t>
  </si>
  <si>
    <t>370615.7 </t>
  </si>
  <si>
    <t>9700.0 </t>
  </si>
  <si>
    <t>817.5 </t>
  </si>
  <si>
    <t>12661.0 </t>
  </si>
  <si>
    <t>Interest Rates on</t>
  </si>
  <si>
    <t>Specialised Banks</t>
  </si>
  <si>
    <t>Private Banks</t>
  </si>
  <si>
    <t>Sonali</t>
  </si>
  <si>
    <t>Agrani</t>
  </si>
  <si>
    <t>Janata</t>
  </si>
  <si>
    <t>Rupali</t>
  </si>
  <si>
    <t>B.K.B</t>
  </si>
  <si>
    <t>RAKUB</t>
  </si>
  <si>
    <t>BASIC</t>
  </si>
  <si>
    <t>UCBL</t>
  </si>
  <si>
    <t>ABBL</t>
  </si>
  <si>
    <t>IFIC</t>
  </si>
  <si>
    <t>NBL</t>
  </si>
  <si>
    <t>Uttara</t>
  </si>
  <si>
    <t>Pubali</t>
  </si>
  <si>
    <t xml:space="preserve"> jute goods)</t>
  </si>
  <si>
    <t>(Other than</t>
  </si>
  <si>
    <t>TABLE- IIE</t>
  </si>
  <si>
    <t xml:space="preserve">Lending Rates: </t>
  </si>
  <si>
    <t>Agriculture</t>
  </si>
  <si>
    <t>Sub-Category-1</t>
  </si>
  <si>
    <t>Sub-Category-2</t>
  </si>
  <si>
    <t>Non-Financial  Corporation</t>
  </si>
  <si>
    <t xml:space="preserve">         Deposit Liabilities</t>
  </si>
  <si>
    <t>1. Point- to- point changes in CPI indicate the changes over the corresponding month of the previous year.</t>
  </si>
  <si>
    <t>2. 12- month average changes in CPI indicate the average change of the last  12- month over the corresponding previous 12- month.</t>
  </si>
  <si>
    <t>Electri-city         Gas &amp; Water Supply</t>
  </si>
  <si>
    <t xml:space="preserve">         - =Not applicable</t>
  </si>
  <si>
    <r>
      <t>* Dubai Mediam, Fateh 32</t>
    </r>
    <r>
      <rPr>
        <vertAlign val="superscript"/>
        <sz val="6.5"/>
        <color indexed="8"/>
        <rFont val="Times New Roman"/>
        <family val="1"/>
      </rPr>
      <t xml:space="preserve">o </t>
    </r>
    <r>
      <rPr>
        <sz val="6.5"/>
        <color indexed="8"/>
        <rFont val="Times New Roman"/>
        <family val="1"/>
      </rPr>
      <t>API, Spot, f.o.b. U.K.</t>
    </r>
  </si>
  <si>
    <r>
      <t xml:space="preserve"> @ United Kingdom Light, Brent 38</t>
    </r>
    <r>
      <rPr>
        <vertAlign val="superscript"/>
        <sz val="6.5"/>
        <color indexed="8"/>
        <rFont val="Times New Roman"/>
        <family val="1"/>
      </rPr>
      <t>o</t>
    </r>
    <r>
      <rPr>
        <sz val="6.5"/>
        <color indexed="8"/>
        <rFont val="Times New Roman"/>
        <family val="1"/>
      </rPr>
      <t xml:space="preserve"> API, Spot, f.o.b. U.K.</t>
    </r>
  </si>
  <si>
    <t>Term Loan to Large &amp; Medium Scale Industry</t>
  </si>
  <si>
    <t xml:space="preserve">  Sub-Category-1</t>
  </si>
  <si>
    <t xml:space="preserve">  Sub-Category-2</t>
  </si>
  <si>
    <t>11188113 </t>
  </si>
  <si>
    <t>13835705 </t>
  </si>
  <si>
    <t>Forex Reserves and Exchange Rate)</t>
  </si>
  <si>
    <t>NBDCs</t>
  </si>
  <si>
    <t>Working Capital to Industry</t>
  </si>
  <si>
    <t xml:space="preserve">Trade Financing </t>
  </si>
  <si>
    <t xml:space="preserve">Housing Loan </t>
  </si>
  <si>
    <t xml:space="preserve">Consumer Credit </t>
  </si>
  <si>
    <t xml:space="preserve">Others </t>
  </si>
  <si>
    <t>EBL</t>
  </si>
  <si>
    <t>NCCBL</t>
  </si>
  <si>
    <t>Dhaka Bank Ltd.</t>
  </si>
  <si>
    <t>South East Bank</t>
  </si>
  <si>
    <t>BCBL</t>
  </si>
  <si>
    <t>Prime Bank Ltd.</t>
  </si>
  <si>
    <t>Dutch Bangla</t>
  </si>
  <si>
    <t>Mercantile</t>
  </si>
  <si>
    <t>One Bank</t>
  </si>
  <si>
    <t>Premier Bank</t>
  </si>
  <si>
    <t>BRAC</t>
  </si>
  <si>
    <t>Standard Bank</t>
  </si>
  <si>
    <t>Mutual Trust</t>
  </si>
  <si>
    <t>Bank Asia</t>
  </si>
  <si>
    <t>Jamuna Bank</t>
  </si>
  <si>
    <t>State Bank of India</t>
  </si>
  <si>
    <t>Habib Bank Ltd.</t>
  </si>
  <si>
    <t>National Bank of Pakistan</t>
  </si>
  <si>
    <t>Woori Bank</t>
  </si>
  <si>
    <t>25.09.17</t>
  </si>
  <si>
    <t>Standard Chartered</t>
  </si>
  <si>
    <t>MERCHANDISE EXPORTS</t>
  </si>
  <si>
    <t>MERCHANDISE IMPORTS</t>
  </si>
  <si>
    <t>MERCHANDISE</t>
  </si>
  <si>
    <t>IMPORTS</t>
  </si>
  <si>
    <t>Aus Rice</t>
  </si>
  <si>
    <t>Aman Rice</t>
  </si>
  <si>
    <t>Boro Rice</t>
  </si>
  <si>
    <t>Currency     in Tills of DMBs</t>
  </si>
  <si>
    <t>Deposit Money Banks  (DMBs)</t>
  </si>
  <si>
    <t>To      Private</t>
  </si>
  <si>
    <t>To    Public</t>
  </si>
  <si>
    <t>Public    Bills</t>
  </si>
  <si>
    <t xml:space="preserve">                       Public                                                                  Sector</t>
  </si>
  <si>
    <t>Cash Reserve Require-ment</t>
  </si>
  <si>
    <t>Invest-ment</t>
  </si>
  <si>
    <t>Credit     to    Private Sector</t>
  </si>
  <si>
    <t>Total No. of    Branches    of Scheduled Banks</t>
  </si>
  <si>
    <t>Average Deposits  per DMB  Branch     (in crore) </t>
  </si>
  <si>
    <t>Statistics Department , Bangladesh Bank.  </t>
  </si>
  <si>
    <t>Source</t>
  </si>
  <si>
    <t xml:space="preserve">: </t>
  </si>
  <si>
    <t>Note</t>
  </si>
  <si>
    <t xml:space="preserve">:  </t>
  </si>
  <si>
    <t>ii) Advances are shown on gross basis instead of net of provision from 1994-95.    </t>
  </si>
  <si>
    <t>Other                                 Public Sector</t>
  </si>
  <si>
    <t>CPI of Major Non-Food Items / Groups</t>
  </si>
  <si>
    <t>Note    :</t>
  </si>
  <si>
    <t>3612 </t>
  </si>
  <si>
    <t>3398 </t>
  </si>
  <si>
    <t xml:space="preserve">Scheduled banks' branches exclude branches outside Bangladesh.           </t>
  </si>
  <si>
    <t>91 percent of savings deposits are included in time deposits with effect from July 2007</t>
  </si>
  <si>
    <t>From       Govern-    ment</t>
  </si>
  <si>
    <t>To     Banks</t>
  </si>
  <si>
    <t xml:space="preserve">                      Rates,             Ratios         &amp;         Average         </t>
  </si>
  <si>
    <t>Jute      Textiles</t>
  </si>
  <si>
    <t>Wholesale Price Indices of  Base:  1969-70=100</t>
  </si>
  <si>
    <r>
      <t>Note</t>
    </r>
    <r>
      <rPr>
        <sz val="8"/>
        <rFont val="Times New Roman"/>
        <family val="1"/>
      </rPr>
      <t xml:space="preserve">     : Figures within parentheses represent million US dollar.</t>
    </r>
  </si>
  <si>
    <t>Foreign Trade (during the period)</t>
  </si>
  <si>
    <t>2010-11</t>
  </si>
  <si>
    <t xml:space="preserve"> Bangladesh Bureau of Statistics</t>
  </si>
  <si>
    <t xml:space="preserve">                 </t>
  </si>
  <si>
    <t>TABLE-IB</t>
  </si>
  <si>
    <t>TABLE-IIA</t>
  </si>
  <si>
    <t>Statistics Department, Bangladesh Bank.  </t>
  </si>
  <si>
    <t>Statistics Department,  Bangladesh Bank.  </t>
  </si>
  <si>
    <r>
      <t>Note :</t>
    </r>
    <r>
      <rPr>
        <sz val="7"/>
        <rFont val="Times New Roman"/>
        <family val="1"/>
      </rPr>
      <t xml:space="preserve"> </t>
    </r>
  </si>
  <si>
    <r>
      <t xml:space="preserve">Source    </t>
    </r>
    <r>
      <rPr>
        <sz val="7"/>
        <rFont val="Times New Roman"/>
        <family val="1"/>
      </rPr>
      <t xml:space="preserve">: </t>
    </r>
  </si>
  <si>
    <r>
      <t xml:space="preserve">Note        </t>
    </r>
    <r>
      <rPr>
        <sz val="7"/>
        <rFont val="Times New Roman"/>
        <family val="1"/>
      </rPr>
      <t>: </t>
    </r>
  </si>
  <si>
    <t>Government       (Net)</t>
  </si>
  <si>
    <t>5= (3+4)</t>
  </si>
  <si>
    <t>8= (6+7)</t>
  </si>
  <si>
    <t>The resident sector has been classified according to the IMF's Monetary and Financial Statistics Manual  (MFSM)</t>
  </si>
  <si>
    <t xml:space="preserve">           ii) </t>
  </si>
  <si>
    <t xml:space="preserve">Note:       </t>
  </si>
  <si>
    <t>In FC   Clearing A/C</t>
  </si>
  <si>
    <t>Deposits with BB</t>
  </si>
  <si>
    <t>By  DMBs</t>
  </si>
  <si>
    <t>TABLE-IIC</t>
  </si>
  <si>
    <t xml:space="preserve">Note </t>
  </si>
  <si>
    <t>TABLE-IID</t>
  </si>
  <si>
    <t xml:space="preserve">Net Foreign Assets </t>
  </si>
  <si>
    <t>Deposit Money Banks</t>
  </si>
  <si>
    <r>
      <t xml:space="preserve">Total </t>
    </r>
    <r>
      <rPr>
        <sz val="8"/>
        <rFont val="Times New Roman"/>
        <family val="1"/>
      </rPr>
      <t>(2+3+4+5)</t>
    </r>
  </si>
  <si>
    <t>Net Domestic Assets (6+7)</t>
  </si>
  <si>
    <t>Reserve Money (1+8)</t>
  </si>
  <si>
    <t>Statistics Department, Bangladesh Bank.</t>
  </si>
  <si>
    <t>Currency      in Tills of DMBs</t>
  </si>
  <si>
    <t xml:space="preserve">Source </t>
  </si>
  <si>
    <t xml:space="preserve">Note   </t>
  </si>
  <si>
    <t>savings certificates and prize bonds for avoiding double counting. </t>
  </si>
  <si>
    <t xml:space="preserve">NBDC  =  Non-Bank Depository Corporation.   </t>
  </si>
  <si>
    <t xml:space="preserve">NSD     =  National Savings Directorate.                                                                                                                                                                            </t>
  </si>
  <si>
    <t xml:space="preserve">Note           : </t>
  </si>
  <si>
    <t xml:space="preserve">Source       : </t>
  </si>
  <si>
    <r>
      <t>Note:</t>
    </r>
    <r>
      <rPr>
        <sz val="8"/>
        <color indexed="8"/>
        <rFont val="Times New Roman"/>
        <family val="1"/>
      </rPr>
      <t xml:space="preserve"> Annual figures represent net collection, while those relating to monthlies are gross basis.</t>
    </r>
  </si>
  <si>
    <r>
      <t>Source:</t>
    </r>
    <r>
      <rPr>
        <sz val="8"/>
        <color indexed="8"/>
        <rFont val="Times New Roman"/>
        <family val="1"/>
      </rPr>
      <t xml:space="preserve"> Bangladesh Bureau of Statistics and National Board of Revenue.</t>
    </r>
  </si>
  <si>
    <t>Monetary survey data have been revised according to the new format from June 2002 and onwards.</t>
  </si>
  <si>
    <t>TABLE-IIF</t>
  </si>
  <si>
    <t>5 = (3+4)</t>
  </si>
  <si>
    <t>10 = (1+2+5+8+9)</t>
  </si>
  <si>
    <t>The resident sector has been classified according to the IMF's Monetary and Financial Statistics Manual (MFSM).</t>
  </si>
  <si>
    <t xml:space="preserve">Note :  </t>
  </si>
  <si>
    <t>8 = (6+7)</t>
  </si>
  <si>
    <t>Statistics Department, Bangladesh Bank and EPB.  </t>
  </si>
  <si>
    <r>
      <t xml:space="preserve">Note </t>
    </r>
    <r>
      <rPr>
        <sz val="8"/>
        <rFont val="Times New Roman"/>
        <family val="1"/>
      </rPr>
      <t xml:space="preserve">     </t>
    </r>
  </si>
  <si>
    <t>Commodities  ( others than food grains )</t>
  </si>
  <si>
    <t>( Taka in crore )</t>
  </si>
  <si>
    <t>Pharma-ceutical Products</t>
  </si>
  <si>
    <t>Capital machinery</t>
  </si>
  <si>
    <t>Total Exports     (1         through    10)</t>
  </si>
  <si>
    <t xml:space="preserve">Plastic and Rubber arti-cles thereof </t>
  </si>
  <si>
    <t>Commodities                                                                                                ( other than food grains )</t>
  </si>
  <si>
    <t>TABLE-IV (Concld.)</t>
  </si>
  <si>
    <t>Statistics Department,   Bangladesh Bank .  </t>
  </si>
  <si>
    <t xml:space="preserve">           </t>
  </si>
  <si>
    <t>Financial Institutions</t>
  </si>
  <si>
    <t>Dhaka Stock Exchange Ltd. (DSE)</t>
  </si>
  <si>
    <t>:</t>
  </si>
  <si>
    <t>Investment has been renamed as mutual fund from January 2010.</t>
  </si>
  <si>
    <t>Banks have been subdivided into banks and financial institutions from January 2010.</t>
  </si>
  <si>
    <t>Mutual Funds</t>
  </si>
  <si>
    <t xml:space="preserve"> 213339  </t>
  </si>
  <si>
    <t>13=(3+6+9+12)</t>
  </si>
  <si>
    <t>BALANCE   OF   PAYMENTS</t>
  </si>
  <si>
    <t>TABLE-V (Contd.)</t>
  </si>
  <si>
    <r>
      <rPr>
        <b/>
        <sz val="8"/>
        <rFont val="Times New Roman"/>
        <family val="1"/>
      </rPr>
      <t>Source  :</t>
    </r>
    <r>
      <rPr>
        <sz val="8"/>
        <rFont val="Times New Roman"/>
        <family val="1"/>
      </rPr>
      <t xml:space="preserve">  Bangladesh Bureau of Statistics.</t>
    </r>
  </si>
  <si>
    <t>… =  Not available</t>
  </si>
  <si>
    <r>
      <rPr>
        <b/>
        <sz val="8"/>
        <color indexed="8"/>
        <rFont val="Times New Roman"/>
        <family val="1"/>
      </rPr>
      <t xml:space="preserve">Source : </t>
    </r>
    <r>
      <rPr>
        <sz val="8"/>
        <color indexed="8"/>
        <rFont val="Times New Roman"/>
        <family val="1"/>
      </rPr>
      <t xml:space="preserve"> Bangladesh Bureau of Statistics.</t>
    </r>
  </si>
  <si>
    <t>Tax Revenue Receipts (under NBR)</t>
  </si>
  <si>
    <t>OF THE GOVERNMENT UNDER NBR AND OTHERS</t>
  </si>
  <si>
    <t xml:space="preserve">SELECTED TAX REVENUE RECEIPTS  </t>
  </si>
  <si>
    <t>Telecomm-unication</t>
  </si>
  <si>
    <t>000'  sq. Metres</t>
  </si>
  <si>
    <t>Source : </t>
  </si>
  <si>
    <t xml:space="preserve">                  </t>
  </si>
  <si>
    <t>BCIC: Paper, Newsprint, Fertilizers, Chemicals &amp; Glass sheet.</t>
  </si>
  <si>
    <t xml:space="preserve">               </t>
  </si>
  <si>
    <t>BSFIC: Sugar</t>
  </si>
  <si>
    <t xml:space="preserve">                </t>
  </si>
  <si>
    <t>BSEC: Iron and Steel.</t>
  </si>
  <si>
    <t>Monthly Profit Based Deposits</t>
  </si>
  <si>
    <t>Hajj Deposit (Term)</t>
  </si>
  <si>
    <t>Iranian Riyal</t>
  </si>
  <si>
    <t>Myanmar Kyat</t>
  </si>
  <si>
    <t>South Korean Won</t>
  </si>
  <si>
    <t>Thai Bath</t>
  </si>
  <si>
    <t>Soya bean Oil     (US $ /MT)</t>
  </si>
  <si>
    <t>Chemicals = Caustic Soda + Liquid Chlorine + HCl + Bleaching Powder + DDT</t>
  </si>
  <si>
    <t>Iron &amp; Steel = Steel Ingot + Billet 110/85 mm + Billet 50/85 mm + MS Plate (thin &amp; Heavy) + MS Rod &amp; Flat Bar.</t>
  </si>
  <si>
    <t>Glass       Sheets</t>
  </si>
  <si>
    <t>Food      Products</t>
  </si>
  <si>
    <t>Oil      Products</t>
  </si>
  <si>
    <t xml:space="preserve">KEY INDICATORS OF </t>
  </si>
  <si>
    <t>NATIONAL ACCOUNTS</t>
  </si>
  <si>
    <t>GDP at Current Market Price</t>
  </si>
  <si>
    <t>GNI at Current Market Price</t>
  </si>
  <si>
    <t>Net  Current Transfer from Abroad</t>
  </si>
  <si>
    <t>Gross Domestic Savings at Current Market Price</t>
  </si>
  <si>
    <t>Gross National Savings at  Current Market Price</t>
  </si>
  <si>
    <t>National Savings as % of GDP at Current Market Price</t>
  </si>
  <si>
    <t>GDP at Constant Market Price</t>
  </si>
  <si>
    <t>GNI at Constant Market Price</t>
  </si>
  <si>
    <t>Per Capita (Amount in unit)</t>
  </si>
  <si>
    <t>Income at Current Market Price</t>
  </si>
  <si>
    <t xml:space="preserve">Source  :  Banking Regulation and Policy Department, Bangladesh Bank.                                                                                                                                  </t>
  </si>
  <si>
    <r>
      <t>Source :</t>
    </r>
    <r>
      <rPr>
        <sz val="7"/>
        <color indexed="8"/>
        <rFont val="Times New Roman"/>
        <family val="1"/>
      </rPr>
      <t xml:space="preserve"> Statistics Department, Bangladesh Bank.</t>
    </r>
  </si>
  <si>
    <t>Debt Management Department, Bangladesh Bank.</t>
  </si>
  <si>
    <t>84.10</t>
  </si>
  <si>
    <t>(42319)</t>
  </si>
  <si>
    <t>(43688)</t>
  </si>
  <si>
    <t>(1032)</t>
  </si>
  <si>
    <t>(44719)</t>
  </si>
  <si>
    <t>(35589)</t>
  </si>
  <si>
    <t>(6730)</t>
  </si>
  <si>
    <t>(9131)</t>
  </si>
  <si>
    <t>(8770)</t>
  </si>
  <si>
    <t>(340)</t>
  </si>
  <si>
    <t>(351)</t>
  </si>
  <si>
    <t>34853</t>
  </si>
  <si>
    <t>(44033)</t>
  </si>
  <si>
    <t>(45463)</t>
  </si>
  <si>
    <t>(492)</t>
  </si>
  <si>
    <t>(45955)</t>
  </si>
  <si>
    <t>(36428)</t>
  </si>
  <si>
    <t>(7605)</t>
  </si>
  <si>
    <t>(9526)</t>
  </si>
  <si>
    <t>(348)</t>
  </si>
  <si>
    <t>(359)</t>
  </si>
  <si>
    <t xml:space="preserve">  180796</t>
  </si>
  <si>
    <t>15617</t>
  </si>
  <si>
    <t>(45713)</t>
  </si>
  <si>
    <t>(47285)</t>
  </si>
  <si>
    <t>(533)</t>
  </si>
  <si>
    <t>(47817)</t>
  </si>
  <si>
    <t xml:space="preserve"> (37640)</t>
  </si>
  <si>
    <t>(8073)</t>
  </si>
  <si>
    <t>(10177)</t>
  </si>
  <si>
    <t>(10145)</t>
  </si>
  <si>
    <t>(357)</t>
  </si>
  <si>
    <t>(369)</t>
  </si>
  <si>
    <t>23.10</t>
  </si>
  <si>
    <t>16317</t>
  </si>
  <si>
    <t>(47125)</t>
  </si>
  <si>
    <t>(48857)</t>
  </si>
  <si>
    <t>(726)</t>
  </si>
  <si>
    <t>(49583)</t>
  </si>
  <si>
    <t>(38698)</t>
  </si>
  <si>
    <t>(8427)</t>
  </si>
  <si>
    <t>(10883)</t>
  </si>
  <si>
    <t>(10850) </t>
  </si>
  <si>
    <t>(363)  </t>
  </si>
  <si>
    <t>(377)</t>
  </si>
  <si>
    <t>82.00</t>
  </si>
  <si>
    <t>(46988)</t>
  </si>
  <si>
    <t>(48626)</t>
  </si>
  <si>
    <t>(433)</t>
  </si>
  <si>
    <t>(49060)</t>
  </si>
  <si>
    <t>(38532)</t>
  </si>
  <si>
    <t>(8456)</t>
  </si>
  <si>
    <t>(10528)</t>
  </si>
  <si>
    <t>(10848)</t>
  </si>
  <si>
    <t>(362)</t>
  </si>
  <si>
    <t>(374)</t>
  </si>
  <si>
    <t>273201</t>
  </si>
  <si>
    <t>285744</t>
  </si>
  <si>
    <t>1890</t>
  </si>
  <si>
    <t>287634</t>
  </si>
  <si>
    <t>223596</t>
  </si>
  <si>
    <t>81.84</t>
  </si>
  <si>
    <t>49605</t>
  </si>
  <si>
    <t>64038</t>
  </si>
  <si>
    <t>22.44</t>
  </si>
  <si>
    <t>63239</t>
  </si>
  <si>
    <t>21713</t>
  </si>
  <si>
    <t>(47571)</t>
  </si>
  <si>
    <t>(49755)</t>
  </si>
  <si>
    <t>(329)</t>
  </si>
  <si>
    <t>(50048)</t>
  </si>
  <si>
    <t>(38934)</t>
  </si>
  <si>
    <t>(8637)</t>
  </si>
  <si>
    <t>(11151)</t>
  </si>
  <si>
    <t>(11011)</t>
  </si>
  <si>
    <t>(361)</t>
  </si>
  <si>
    <t>(378)</t>
  </si>
  <si>
    <t>300580</t>
  </si>
  <si>
    <t>(51914)</t>
  </si>
  <si>
    <t>(54778)</t>
  </si>
  <si>
    <t>(373)</t>
  </si>
  <si>
    <t>(55151)</t>
  </si>
  <si>
    <t>(42458)</t>
  </si>
  <si>
    <t>(9456)</t>
  </si>
  <si>
    <t>(12633)</t>
  </si>
  <si>
    <t>(12151)</t>
  </si>
  <si>
    <t>(389)</t>
  </si>
  <si>
    <t>(407)</t>
  </si>
  <si>
    <t>332973</t>
  </si>
  <si>
    <t>(56493)</t>
  </si>
  <si>
    <t>(59472)</t>
  </si>
  <si>
    <t>(422)</t>
  </si>
  <si>
    <t>(59832)</t>
  </si>
  <si>
    <t>(45458)</t>
  </si>
  <si>
    <t>(11036)</t>
  </si>
  <si>
    <t>(14374)</t>
  </si>
  <si>
    <t>(13572)</t>
  </si>
  <si>
    <t>(421)</t>
  </si>
  <si>
    <t>(440)</t>
  </si>
  <si>
    <t>90924</t>
  </si>
  <si>
    <t>13.70</t>
  </si>
  <si>
    <t>(60386)</t>
  </si>
  <si>
    <t>(63469)</t>
  </si>
  <si>
    <t>(437)</t>
  </si>
  <si>
    <t>(63906)</t>
  </si>
  <si>
    <t>(48300)</t>
  </si>
  <si>
    <t>(12086)</t>
  </si>
  <si>
    <t>(15606)</t>
  </si>
  <si>
    <t>(14811)</t>
  </si>
  <si>
    <t>(441)</t>
  </si>
  <si>
    <t>(463)</t>
  </si>
  <si>
    <t>446588</t>
  </si>
  <si>
    <t>6.63</t>
  </si>
  <si>
    <t>(61975)</t>
  </si>
  <si>
    <t>(66031)</t>
  </si>
  <si>
    <t>(546)</t>
  </si>
  <si>
    <t>(66575)</t>
  </si>
  <si>
    <t>(49426)</t>
  </si>
  <si>
    <t>(12549)</t>
  </si>
  <si>
    <t>(17149)</t>
  </si>
  <si>
    <t>(15277)</t>
  </si>
  <si>
    <t>(447)</t>
  </si>
  <si>
    <t>(476)</t>
  </si>
  <si>
    <t>507752</t>
  </si>
  <si>
    <t>3988</t>
  </si>
  <si>
    <t>511741</t>
  </si>
  <si>
    <t>376317</t>
  </si>
  <si>
    <t>79.65</t>
  </si>
  <si>
    <t>96160</t>
  </si>
  <si>
    <t>135424</t>
  </si>
  <si>
    <t>28.66</t>
  </si>
  <si>
    <t xml:space="preserve"> 115590</t>
  </si>
  <si>
    <t>24.46</t>
  </si>
  <si>
    <t>302971</t>
  </si>
  <si>
    <t>325591</t>
  </si>
  <si>
    <t>13.65</t>
  </si>
  <si>
    <t>6.43</t>
  </si>
  <si>
    <t>156</t>
  </si>
  <si>
    <t>33607</t>
  </si>
  <si>
    <t>21550</t>
  </si>
  <si>
    <t>36116</t>
  </si>
  <si>
    <t>23159</t>
  </si>
  <si>
    <t>(68445)</t>
  </si>
  <si>
    <t>(73555)</t>
  </si>
  <si>
    <t>(578)</t>
  </si>
  <si>
    <t>(74133)</t>
  </si>
  <si>
    <t>(54515)</t>
  </si>
  <si>
    <t>(13930)</t>
  </si>
  <si>
    <t>(19618)</t>
  </si>
  <si>
    <t>(16745)</t>
  </si>
  <si>
    <t>(487)</t>
  </si>
  <si>
    <t>(523)</t>
  </si>
  <si>
    <t>5671</t>
  </si>
  <si>
    <t>599883</t>
  </si>
  <si>
    <t>434971</t>
  </si>
  <si>
    <t>79.69</t>
  </si>
  <si>
    <t>110851</t>
  </si>
  <si>
    <t>164912</t>
  </si>
  <si>
    <t>30.21</t>
  </si>
  <si>
    <t>132132</t>
  </si>
  <si>
    <t>24.21</t>
  </si>
  <si>
    <t>321726</t>
  </si>
  <si>
    <t>15.52</t>
  </si>
  <si>
    <t>6.19</t>
  </si>
  <si>
    <t>170</t>
  </si>
  <si>
    <t>14.24</t>
  </si>
  <si>
    <t>22593</t>
  </si>
  <si>
    <t>14.42</t>
  </si>
  <si>
    <t>P = Provisional</t>
  </si>
  <si>
    <t>Non-Food</t>
  </si>
  <si>
    <t>Transport &amp; Communi-cations</t>
  </si>
  <si>
    <t>Recreation, Entertain-ment, Education &amp; Cultural Services</t>
  </si>
  <si>
    <t>Source:</t>
  </si>
  <si>
    <t xml:space="preserve">... </t>
  </si>
  <si>
    <t>= Not Available</t>
  </si>
  <si>
    <r>
      <t>Source</t>
    </r>
    <r>
      <rPr>
        <sz val="7"/>
        <color indexed="8"/>
        <rFont val="Times New Roman"/>
        <family val="1"/>
      </rPr>
      <t>: Bangladesh Bureau of Statistics</t>
    </r>
  </si>
  <si>
    <t>1. Bangladesh Jute Mills Association</t>
  </si>
  <si>
    <r>
      <t>Source</t>
    </r>
    <r>
      <rPr>
        <sz val="8"/>
        <rFont val="Times New Roman"/>
        <family val="1"/>
      </rPr>
      <t xml:space="preserve">: </t>
    </r>
  </si>
  <si>
    <t>Import Duty</t>
  </si>
  <si>
    <t>Net Primary Income from Abroad</t>
  </si>
  <si>
    <t>Agricul-ture and Forestry</t>
  </si>
  <si>
    <t>Manufa-cturing</t>
  </si>
  <si>
    <t>Constr-uctions</t>
  </si>
  <si>
    <t>Hotel and Restau-rants</t>
  </si>
  <si>
    <t>Mining and Quarry-ing</t>
  </si>
  <si>
    <t>Transport, Storage and Commu-nication</t>
  </si>
  <si>
    <t>Finan-cial     Inter-medi-ations</t>
  </si>
  <si>
    <t>Real Estate, Renting and Business Activities</t>
  </si>
  <si>
    <t>Educa-tion</t>
  </si>
  <si>
    <t>Commu-nity, Social and Personal Services</t>
  </si>
  <si>
    <t>Public Adminis-tration     and Defence</t>
  </si>
  <si>
    <t>Health and      Social Works</t>
  </si>
  <si>
    <t>BANGLADESH AT CONSTANT MARKET PRICE</t>
  </si>
  <si>
    <t>TABLE-X</t>
  </si>
  <si>
    <t>Whole-sale     and Retail Trade</t>
  </si>
  <si>
    <t>Electri-city      Gas &amp; Water Supply</t>
  </si>
  <si>
    <t>Whole-sale      and Retail Trade</t>
  </si>
  <si>
    <t>Bangladesh Bureau of Statistics.</t>
  </si>
  <si>
    <t xml:space="preserve">Figures within the parentheses indicate the percentage of sectoral share to total GDP at current market price. </t>
  </si>
  <si>
    <r>
      <t>Source   :</t>
    </r>
    <r>
      <rPr>
        <sz val="8"/>
        <color indexed="8"/>
        <rFont val="Times New Roman"/>
        <family val="1"/>
      </rPr>
      <t xml:space="preserve">   </t>
    </r>
  </si>
  <si>
    <r>
      <t>Note       :</t>
    </r>
    <r>
      <rPr>
        <sz val="8"/>
        <color indexed="8"/>
        <rFont val="Times New Roman"/>
        <family val="1"/>
      </rPr>
      <t xml:space="preserve"> </t>
    </r>
  </si>
  <si>
    <t>Figures within the parentheses indicate the percentage of sectoral share to total GDP at constant market price.</t>
  </si>
  <si>
    <r>
      <t>Source   :</t>
    </r>
    <r>
      <rPr>
        <sz val="8"/>
        <color indexed="8"/>
        <rFont val="Times New Roman"/>
        <family val="1"/>
      </rPr>
      <t xml:space="preserve"> </t>
    </r>
  </si>
  <si>
    <r>
      <t>Source</t>
    </r>
    <r>
      <rPr>
        <sz val="8"/>
        <rFont val="Times New Roman"/>
        <family val="1"/>
      </rPr>
      <t xml:space="preserve"> : Bangladesh Bureau of Statistics.</t>
    </r>
  </si>
  <si>
    <t>Gross Disposable National  Income at Current Market Price</t>
  </si>
  <si>
    <t>Total Consum-ption at Current Market Price</t>
  </si>
  <si>
    <t>Income at Constant Market Price</t>
  </si>
  <si>
    <t>Annual Growth     of GDP at Constant Market Price %</t>
  </si>
  <si>
    <r>
      <t xml:space="preserve">Note        :  </t>
    </r>
    <r>
      <rPr>
        <sz val="8"/>
        <rFont val="Times New Roman"/>
        <family val="1"/>
      </rPr>
      <t>Figures relating to turnover has been revised according to "Monthly Review" of  DSE.</t>
    </r>
  </si>
  <si>
    <r>
      <t>Source</t>
    </r>
    <r>
      <rPr>
        <sz val="8"/>
        <rFont val="Times New Roman"/>
        <family val="1"/>
      </rPr>
      <t xml:space="preserve">    </t>
    </r>
    <r>
      <rPr>
        <b/>
        <sz val="8"/>
        <rFont val="Times New Roman"/>
        <family val="1"/>
      </rPr>
      <t xml:space="preserve">: </t>
    </r>
    <r>
      <rPr>
        <sz val="8"/>
        <rFont val="Times New Roman"/>
        <family val="1"/>
      </rPr>
      <t xml:space="preserve"> Dhaka Stock Exchange Ltd. (DSE)</t>
    </r>
  </si>
  <si>
    <t>Food and Allied Products</t>
  </si>
  <si>
    <t>Pharmaceu-ticals and Chemicals</t>
  </si>
  <si>
    <t>Miscella-neous </t>
  </si>
  <si>
    <t>u)</t>
  </si>
  <si>
    <t>Mudaraba Marriage Savings Scheme</t>
  </si>
  <si>
    <t>Jul-Dec</t>
  </si>
  <si>
    <t>Jan-Jun</t>
  </si>
  <si>
    <t>DMBs Total Assets/ Liabilities</t>
  </si>
  <si>
    <t>Taka in crore</t>
  </si>
  <si>
    <t xml:space="preserve">Taka in crore         </t>
  </si>
  <si>
    <t>Total Invest-ments as    % of GDP at Current Market Price</t>
  </si>
  <si>
    <t> 558.3</t>
  </si>
  <si>
    <t>Total Consum-ption as % of GDP at Current Market Price</t>
  </si>
  <si>
    <t>6159 </t>
  </si>
  <si>
    <t>6236 </t>
  </si>
  <si>
    <t>6156 </t>
  </si>
  <si>
    <t>Export Duty</t>
  </si>
  <si>
    <t xml:space="preserve"> Weighted Average Exchange Rate</t>
  </si>
  <si>
    <t>ii)  Loan above Tk. 15 lacs</t>
  </si>
  <si>
    <t>i)  Loan upto Tk. 15 lacs</t>
  </si>
  <si>
    <t xml:space="preserve">Source      : </t>
  </si>
  <si>
    <t>Sugar Cane</t>
  </si>
  <si>
    <t>Rape &amp; Mustard</t>
  </si>
  <si>
    <t>TABLE-V (Concld.)</t>
  </si>
  <si>
    <t>Moong</t>
  </si>
  <si>
    <t>Masur</t>
  </si>
  <si>
    <t>Tobacco</t>
  </si>
  <si>
    <t>Jute</t>
  </si>
  <si>
    <t>…</t>
  </si>
  <si>
    <t>Mode of Payments</t>
  </si>
  <si>
    <t>Principal</t>
  </si>
  <si>
    <t>Interest</t>
  </si>
  <si>
    <t>After Maturity</t>
  </si>
  <si>
    <t>Half Yearly</t>
  </si>
  <si>
    <t xml:space="preserve">ii) </t>
  </si>
  <si>
    <t xml:space="preserve">iii) </t>
  </si>
  <si>
    <t xml:space="preserve">iv) </t>
  </si>
  <si>
    <t xml:space="preserve">(Money and </t>
  </si>
  <si>
    <t>iii)</t>
  </si>
  <si>
    <t>iv)</t>
  </si>
  <si>
    <t>09.01.08</t>
  </si>
  <si>
    <t>13.02.08</t>
  </si>
  <si>
    <t>09.04.08</t>
  </si>
  <si>
    <t>14.05.08</t>
  </si>
  <si>
    <t>11.06.08</t>
  </si>
  <si>
    <t>13.08.08</t>
  </si>
  <si>
    <t>15.10.08</t>
  </si>
  <si>
    <t>12.11.08</t>
  </si>
  <si>
    <t>09.01.23</t>
  </si>
  <si>
    <t>13.02.23</t>
  </si>
  <si>
    <t>09.04.23</t>
  </si>
  <si>
    <t>14.05.23</t>
  </si>
  <si>
    <t>11.06.23</t>
  </si>
  <si>
    <t>13.08.23</t>
  </si>
  <si>
    <t>15.10.23</t>
  </si>
  <si>
    <t>12.11.23</t>
  </si>
  <si>
    <t>Banking)</t>
  </si>
  <si>
    <t>INDICATORS</t>
  </si>
  <si>
    <t>TABLE-IA (Contd.)</t>
  </si>
  <si>
    <t>(Money and</t>
  </si>
  <si>
    <t>01.11.18</t>
  </si>
  <si>
    <t>Yearly</t>
  </si>
  <si>
    <t>30.06.19</t>
  </si>
  <si>
    <t>01.07.20</t>
  </si>
  <si>
    <t xml:space="preserve"> Euro</t>
  </si>
  <si>
    <t>v)</t>
  </si>
  <si>
    <t>f)</t>
  </si>
  <si>
    <t>i)</t>
  </si>
  <si>
    <t>j)</t>
  </si>
  <si>
    <t>k)</t>
  </si>
  <si>
    <t>l)</t>
  </si>
  <si>
    <t>m)</t>
  </si>
  <si>
    <t>n)</t>
  </si>
  <si>
    <t>o)</t>
  </si>
  <si>
    <t>p)</t>
  </si>
  <si>
    <t xml:space="preserve">Domestic  </t>
  </si>
  <si>
    <t xml:space="preserve">CONSUMER PRICE INDEX AND </t>
  </si>
  <si>
    <t>INFLATION RATE IN BANGLADESH</t>
  </si>
  <si>
    <t>=100)</t>
  </si>
  <si>
    <t xml:space="preserve">AVERAGE PRICES OF </t>
  </si>
  <si>
    <t>SELECTED COMMODITIES</t>
  </si>
  <si>
    <t>BANGLADESH AT CURRENT MARKET PRICE</t>
  </si>
  <si>
    <t xml:space="preserve">INDEX NUMBER OF ORDINARY SHARE PRICES, TURN OVER, ISSUED CAPITAL AND </t>
  </si>
  <si>
    <t>AT INTERNATIONAL MARKET</t>
  </si>
  <si>
    <t>TABLE-IIIB</t>
  </si>
  <si>
    <t>Cotton (U.S. Cents/ pound)</t>
  </si>
  <si>
    <t>Gold (US $/ Troy Ounce)</t>
  </si>
  <si>
    <t xml:space="preserve">APPRECIATION / DEPRECIATION OF SELECTED </t>
  </si>
  <si>
    <t>CURRENCIES AGAINST US DOLLAR</t>
  </si>
  <si>
    <t>(Taka per</t>
  </si>
  <si>
    <t>RATES</t>
  </si>
  <si>
    <t>Currencies)</t>
  </si>
  <si>
    <t>EXCHANGE</t>
  </si>
  <si>
    <t xml:space="preserve">REMITTANCES </t>
  </si>
  <si>
    <t>NUMBER OF PERSONS LEFT FOR ABROAD ON EMPLOYMENT  AND  TOTAL WORKERS'  REMITTANCES</t>
  </si>
  <si>
    <t>35276</t>
  </si>
  <si>
    <t>50200</t>
  </si>
  <si>
    <t>The CITY</t>
  </si>
  <si>
    <t>36.37 Litres</t>
  </si>
  <si>
    <r>
      <t>1(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F)</t>
    </r>
  </si>
  <si>
    <r>
      <t>1.8(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C) + 32</t>
    </r>
  </si>
  <si>
    <t>100 Decimals</t>
  </si>
  <si>
    <t xml:space="preserve">   STATISTICAL TABLES</t>
  </si>
  <si>
    <t xml:space="preserve">Appendix : </t>
  </si>
  <si>
    <t>TABLE-IIB</t>
  </si>
  <si>
    <t>RESERVE MONEY AND ITS SOURCES</t>
  </si>
  <si>
    <t>RESERVE MONEY AND ITS COMPONENTS</t>
  </si>
  <si>
    <t>Services</t>
  </si>
  <si>
    <t>2007-08</t>
  </si>
  <si>
    <t xml:space="preserve">March </t>
  </si>
  <si>
    <t>Effective Date</t>
  </si>
  <si>
    <t>Liverpool  Index</t>
  </si>
  <si>
    <t>FOREIGN DIRECT INVESTMENT (FDI) INFLOWS AND STOCKS BY COMPONENTS IN BANGLADESH</t>
  </si>
  <si>
    <t>Inflows</t>
  </si>
  <si>
    <t>Stocks</t>
  </si>
  <si>
    <t xml:space="preserve">Total               </t>
  </si>
  <si>
    <t xml:space="preserve">Total                </t>
  </si>
  <si>
    <t>25.09.19</t>
  </si>
  <si>
    <t>25.09.20</t>
  </si>
  <si>
    <t>25.09.21</t>
  </si>
  <si>
    <t>07.10.09</t>
  </si>
  <si>
    <t>07.10.19</t>
  </si>
  <si>
    <t>02.12.09</t>
  </si>
  <si>
    <t>02.12.19</t>
  </si>
  <si>
    <t>03.02.10</t>
  </si>
  <si>
    <t>03.02.20</t>
  </si>
  <si>
    <t>03.03.10</t>
  </si>
  <si>
    <t>14.10.09</t>
  </si>
  <si>
    <t>14.10.24</t>
  </si>
  <si>
    <t>09.12.09</t>
  </si>
  <si>
    <t>09.12.24</t>
  </si>
  <si>
    <t>13.01.10</t>
  </si>
  <si>
    <t>13.01.25</t>
  </si>
  <si>
    <t>10.02.10</t>
  </si>
  <si>
    <t>10.02.25</t>
  </si>
  <si>
    <t>10.03.10</t>
  </si>
  <si>
    <t>10.03.25</t>
  </si>
  <si>
    <t>28.10.09</t>
  </si>
  <si>
    <t>28.10.29</t>
  </si>
  <si>
    <t>23.12.09</t>
  </si>
  <si>
    <t>23.12.29</t>
  </si>
  <si>
    <t>24.02.10</t>
  </si>
  <si>
    <t>24.02.30</t>
  </si>
  <si>
    <t>24.03.10</t>
  </si>
  <si>
    <t>24.03.30</t>
  </si>
  <si>
    <t>TABLE-XVI</t>
  </si>
  <si>
    <t xml:space="preserve">g)  </t>
  </si>
  <si>
    <t>Mudaraba Special Deposit  Pension Scheme</t>
  </si>
  <si>
    <t>12 years</t>
  </si>
  <si>
    <t xml:space="preserve"> i) </t>
  </si>
  <si>
    <t xml:space="preserve"> ii) </t>
  </si>
  <si>
    <t>15 years</t>
  </si>
  <si>
    <t>20 years</t>
  </si>
  <si>
    <t>25 years</t>
  </si>
  <si>
    <t>10 years</t>
  </si>
  <si>
    <t>Non Resident Bond</t>
  </si>
  <si>
    <t xml:space="preserve">h) </t>
  </si>
  <si>
    <t xml:space="preserve">e)     </t>
  </si>
  <si>
    <t>Benefit Scheme</t>
  </si>
  <si>
    <t xml:space="preserve">f) </t>
  </si>
  <si>
    <t>Millionaire Scheme Deposit</t>
  </si>
  <si>
    <t>ii)  11 to 25  years</t>
  </si>
  <si>
    <t>iii)  One Time Hajj Deposits</t>
  </si>
  <si>
    <t>i)    1 to 10 years</t>
  </si>
  <si>
    <t>MMPDR / Hajj Deposit (Monthly)</t>
  </si>
  <si>
    <t>... =Not applicable</t>
  </si>
  <si>
    <t>P= Provisional</t>
  </si>
  <si>
    <t xml:space="preserve">               </t>
  </si>
  <si>
    <t>… = Not Available</t>
  </si>
  <si>
    <t xml:space="preserve">Source :      </t>
  </si>
  <si>
    <t xml:space="preserve">Source : </t>
  </si>
  <si>
    <t xml:space="preserve">            </t>
  </si>
  <si>
    <t xml:space="preserve"> … =Not Available</t>
  </si>
  <si>
    <t xml:space="preserve"> …=Not Available</t>
  </si>
  <si>
    <t>TABLE-XVIII</t>
  </si>
  <si>
    <t>Source    :</t>
  </si>
  <si>
    <t>MONETARY</t>
  </si>
  <si>
    <t xml:space="preserve">1)   Bureau of Manpower, Employment and Training.  </t>
  </si>
  <si>
    <t xml:space="preserve">COUNTRY-WISE WORKERS' </t>
  </si>
  <si>
    <t xml:space="preserve">Note   :   </t>
  </si>
  <si>
    <t>International Financial Statistics.</t>
  </si>
  <si>
    <t>Bangladeshi Taka</t>
  </si>
  <si>
    <t>South Korean  Won</t>
  </si>
  <si>
    <t>S.D.R.</t>
  </si>
  <si>
    <t>Statistics Deparement, Bangladesh Bank.</t>
  </si>
  <si>
    <t>ECU/EURO</t>
  </si>
  <si>
    <t> 4337.2</t>
  </si>
  <si>
    <t> 5908.5</t>
  </si>
  <si>
    <t> 64826.8</t>
  </si>
  <si>
    <t> 1039.2</t>
  </si>
  <si>
    <r>
      <t>Source: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</si>
  <si>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>Note:</t>
    </r>
    <r>
      <rPr>
        <sz val="6"/>
        <rFont val="Times New Roman"/>
        <family val="1"/>
      </rPr>
      <t xml:space="preserve">  </t>
    </r>
  </si>
  <si>
    <t>Sri  Lankan Rupee</t>
  </si>
  <si>
    <t xml:space="preserve">Source   : </t>
  </si>
  <si>
    <t xml:space="preserve">Note      :          </t>
  </si>
  <si>
    <t>Deposits with BB other than DMBs</t>
  </si>
  <si>
    <t>DMBs Advances</t>
  </si>
  <si>
    <t>DMBs Investment</t>
  </si>
  <si>
    <t>TOTAL NUMBER OF COMPANIES LISTED WITH THE DHAKA STOCK EXCHANGE LTD.</t>
  </si>
  <si>
    <t>LISTED WITH THE DHAKA STOCK EXCHANGE LTD.</t>
  </si>
  <si>
    <t>Other Financial Corporation &amp; NBDCs</t>
  </si>
  <si>
    <t>Public</t>
  </si>
  <si>
    <t>Non-Financial Corporation</t>
  </si>
  <si>
    <t>10=(1+2+5+8+9)</t>
  </si>
  <si>
    <t xml:space="preserve">Total </t>
  </si>
  <si>
    <t>7368</t>
  </si>
  <si>
    <t>Weights and Measures</t>
  </si>
  <si>
    <t>1 Maund</t>
  </si>
  <si>
    <t>=</t>
  </si>
  <si>
    <t>37.324 Kgs.</t>
  </si>
  <si>
    <t>1 Bale</t>
  </si>
  <si>
    <t>180 Kgs.</t>
  </si>
  <si>
    <t>82.285 lbs.</t>
  </si>
  <si>
    <t>4.823 Mds.</t>
  </si>
  <si>
    <t>1 Seer</t>
  </si>
  <si>
    <t>0.933 Kg.</t>
  </si>
  <si>
    <t>1 Metric Ton</t>
  </si>
  <si>
    <t>1000 Kgs.</t>
  </si>
  <si>
    <t>Public Sector</t>
  </si>
  <si>
    <t>26.792 Mds.</t>
  </si>
  <si>
    <t>1 Pound (lb)</t>
  </si>
  <si>
    <t>0.4536 Kg.</t>
  </si>
  <si>
    <t>1 Long Ton</t>
  </si>
  <si>
    <t>1016.05 Kgs.</t>
  </si>
  <si>
    <t>1 Tola</t>
  </si>
  <si>
    <t>11.66 gms.</t>
  </si>
  <si>
    <t>27.223 Mds.</t>
  </si>
  <si>
    <t>1 Metre</t>
  </si>
  <si>
    <t>39.37 Inches</t>
  </si>
  <si>
    <t>1 Ounce</t>
  </si>
  <si>
    <t>2.43 Tola</t>
  </si>
  <si>
    <t>3.2808 Ft.</t>
  </si>
  <si>
    <t>28.35 gms.</t>
  </si>
  <si>
    <t>1 Sq. Metre</t>
  </si>
  <si>
    <t>10.764 Sq. Ft.</t>
  </si>
  <si>
    <t>1 Troy ounce</t>
  </si>
  <si>
    <t>1 Mile</t>
  </si>
  <si>
    <t>1.6093 Km.</t>
  </si>
  <si>
    <t>2.666 Tola</t>
  </si>
  <si>
    <t>0.3048 Metre</t>
  </si>
  <si>
    <t>1 Quintal</t>
  </si>
  <si>
    <t>100 Kgs.</t>
  </si>
  <si>
    <t>1 Sq. Ft.</t>
  </si>
  <si>
    <t>0.0929 Sq. Metre</t>
  </si>
  <si>
    <t>220.5 lbs.</t>
  </si>
  <si>
    <t>1 Bigha</t>
  </si>
  <si>
    <t>0.3306 Acre</t>
  </si>
  <si>
    <t>2.679 Mds.</t>
  </si>
  <si>
    <t xml:space="preserve">TABLE-III A (Contd.) </t>
  </si>
  <si>
    <t>TABLE-III A (Concld.)</t>
  </si>
  <si>
    <t>1600 Sq. Yards</t>
  </si>
  <si>
    <t>0.1 Metric Ton</t>
  </si>
  <si>
    <t xml:space="preserve">MONETARY </t>
  </si>
  <si>
    <t>BY DEPOSITORY CORPORATIONS</t>
  </si>
  <si>
    <t>BY THE BANKING SYSTEM</t>
  </si>
  <si>
    <t>1.65 Decimal</t>
  </si>
  <si>
    <t>1 Litre</t>
  </si>
  <si>
    <t>0.22 Gallon</t>
  </si>
  <si>
    <t>720 Sq. Ft.</t>
  </si>
  <si>
    <t>1000 CC</t>
  </si>
  <si>
    <t>66.89 Sq. Metre</t>
  </si>
  <si>
    <t>0.027 Bushel</t>
  </si>
  <si>
    <t>1 Decimal</t>
  </si>
  <si>
    <t>435.6 Sq. Ft.</t>
  </si>
  <si>
    <t>1 Barrel</t>
  </si>
  <si>
    <t>34.9726 Gallon</t>
  </si>
  <si>
    <t>1 Acre</t>
  </si>
  <si>
    <t>0.405 Hectare</t>
  </si>
  <si>
    <t>0.125 M. T.</t>
  </si>
  <si>
    <t>4840 Sq. Yards</t>
  </si>
  <si>
    <t>1 Crore</t>
  </si>
  <si>
    <t>10 Millions</t>
  </si>
  <si>
    <t>100 Lacs.</t>
  </si>
  <si>
    <t>1 Hectare</t>
  </si>
  <si>
    <t>2.47 Acres</t>
  </si>
  <si>
    <t>0.01 Billion</t>
  </si>
  <si>
    <t>1 Megawatt</t>
  </si>
  <si>
    <t>1000 Kilo Watts.</t>
  </si>
  <si>
    <t>Note : F and C indicate Fahrenheit and Celsius Scale Respectively.</t>
  </si>
  <si>
    <t xml:space="preserve"> --- = Not applicable</t>
  </si>
  <si>
    <t>04.07.17</t>
  </si>
  <si>
    <t>08.08.17</t>
  </si>
  <si>
    <t>05.09.17</t>
  </si>
  <si>
    <t>03.10.17</t>
  </si>
  <si>
    <t>08.11.17</t>
  </si>
  <si>
    <t>05.12.17</t>
  </si>
  <si>
    <t>11.07.22</t>
  </si>
  <si>
    <t>12.09.07</t>
  </si>
  <si>
    <t>25.09.07</t>
  </si>
  <si>
    <t>11.10.07</t>
  </si>
  <si>
    <t>q)</t>
  </si>
  <si>
    <t>Mudaraba Muhar Savings(10yrs.)</t>
  </si>
  <si>
    <t>r)</t>
  </si>
  <si>
    <t>BDBL</t>
  </si>
  <si>
    <t>Mudaraba Muhar Savings(5yrs.)</t>
  </si>
  <si>
    <t>s)</t>
  </si>
  <si>
    <t>t)</t>
  </si>
  <si>
    <t>14.11.07</t>
  </si>
  <si>
    <t>12.12.07</t>
  </si>
  <si>
    <t>12.09.22</t>
  </si>
  <si>
    <t>25.09.22</t>
  </si>
  <si>
    <t>11.10.22</t>
  </si>
  <si>
    <t>14.11.22</t>
  </si>
  <si>
    <t>12.12.22</t>
  </si>
  <si>
    <t>26.09.07</t>
  </si>
  <si>
    <t>24.10.07</t>
  </si>
  <si>
    <t>28.11.07</t>
  </si>
  <si>
    <t>26.12.07</t>
  </si>
  <si>
    <t>26.09.27</t>
  </si>
  <si>
    <t>24.10.27</t>
  </si>
  <si>
    <t>28.11.27</t>
  </si>
  <si>
    <t>26.12.27</t>
  </si>
  <si>
    <t>ii)</t>
  </si>
  <si>
    <t>1 Katha</t>
  </si>
  <si>
    <t>4046.8468 Sq. Metre</t>
  </si>
  <si>
    <t>1 Feet</t>
  </si>
  <si>
    <t>93.93 </t>
  </si>
  <si>
    <t> 149.20</t>
  </si>
  <si>
    <t>End of Period</t>
  </si>
  <si>
    <t>Banks</t>
  </si>
  <si>
    <t>Total</t>
  </si>
  <si>
    <t>Private</t>
  </si>
  <si>
    <t>Domestic</t>
  </si>
  <si>
    <t>Average</t>
  </si>
  <si>
    <t>Period</t>
  </si>
  <si>
    <t>Net Foreign Assets</t>
  </si>
  <si>
    <t>Domestic Credit</t>
  </si>
  <si>
    <t>Government (Net)</t>
  </si>
  <si>
    <t>Other Public Sector</t>
  </si>
  <si>
    <t>Goods</t>
  </si>
  <si>
    <t>Receipts</t>
  </si>
  <si>
    <t>Payments</t>
  </si>
  <si>
    <t>Official</t>
  </si>
  <si>
    <t>Others</t>
  </si>
  <si>
    <t>Food grains</t>
  </si>
  <si>
    <t>Rice</t>
  </si>
  <si>
    <t>Wheat</t>
  </si>
  <si>
    <t>Spices</t>
  </si>
  <si>
    <t>Yarn</t>
  </si>
  <si>
    <t>Paper</t>
  </si>
  <si>
    <t>Cigarettes</t>
  </si>
  <si>
    <t>Food</t>
  </si>
  <si>
    <t>Chemicals</t>
  </si>
  <si>
    <t>Matches</t>
  </si>
  <si>
    <t>CPI</t>
  </si>
  <si>
    <t>General</t>
  </si>
  <si>
    <t>Inflation (General)</t>
  </si>
  <si>
    <t>Fishing</t>
  </si>
  <si>
    <t>Textile Industries</t>
  </si>
  <si>
    <t>Insurance</t>
  </si>
  <si>
    <t>B.</t>
  </si>
  <si>
    <t>(Percent per annum)</t>
  </si>
  <si>
    <t>Maturity of Deposits</t>
  </si>
  <si>
    <t>Borrowing Rate</t>
  </si>
  <si>
    <t>Highest</t>
  </si>
  <si>
    <t>Lowest</t>
  </si>
  <si>
    <t>Lending Rate</t>
  </si>
  <si>
    <t>Malaysia</t>
  </si>
  <si>
    <t>ACU Dollar</t>
  </si>
  <si>
    <t>Bahrain Dinar</t>
  </si>
  <si>
    <t>Canadian Dollar</t>
  </si>
  <si>
    <t>Danish Krone</t>
  </si>
  <si>
    <t>Indian Rupee</t>
  </si>
  <si>
    <t>Indonesian Rupiah</t>
  </si>
  <si>
    <t>Kuwaiti Dinar</t>
  </si>
  <si>
    <t>Nepalese Rupee</t>
  </si>
  <si>
    <t>New Zealand Dollar</t>
  </si>
  <si>
    <t>Norwegian Krone</t>
  </si>
  <si>
    <t>Omani Riyal</t>
  </si>
  <si>
    <t>Pakistani Rupee</t>
  </si>
  <si>
    <t>Philippines Peso</t>
  </si>
  <si>
    <t>Qatar Riyal</t>
  </si>
  <si>
    <t>Russian Ruble</t>
  </si>
  <si>
    <t>Saudi Arabian Riyal</t>
  </si>
  <si>
    <t>Singapore Dollar</t>
  </si>
  <si>
    <t>Swedish Krona</t>
  </si>
  <si>
    <t>SDR</t>
  </si>
  <si>
    <t>UAE Dirham</t>
  </si>
  <si>
    <t>US Dollar</t>
  </si>
  <si>
    <t>Australia</t>
  </si>
  <si>
    <t>Ukraine</t>
  </si>
  <si>
    <t>Argentina</t>
  </si>
  <si>
    <t>VAT</t>
  </si>
  <si>
    <t>Import</t>
  </si>
  <si>
    <t>Supplementary Tax</t>
  </si>
  <si>
    <t>Registration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</si>
  <si>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</si>
  <si>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</si>
  <si>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</si>
  <si>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</si>
  <si>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</si>
  <si>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</si>
  <si>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</si>
  <si>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</si>
  <si>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</si>
  <si>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</si>
  <si>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</si>
  <si>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</si>
  <si>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September</t>
  </si>
  <si>
    <t>December</t>
  </si>
  <si>
    <t>March</t>
  </si>
  <si>
    <t>June</t>
  </si>
  <si>
    <t>2005-06</t>
  </si>
  <si>
    <t>July</t>
  </si>
  <si>
    <t>August</t>
  </si>
  <si>
    <t>October</t>
  </si>
  <si>
    <t>November</t>
  </si>
  <si>
    <t>January</t>
  </si>
  <si>
    <t>February</t>
  </si>
  <si>
    <t>April</t>
  </si>
  <si>
    <t>May</t>
  </si>
  <si>
    <t>2006-07</t>
  </si>
  <si>
    <t>Weight</t>
  </si>
  <si>
    <t>Credit</t>
  </si>
  <si>
    <t xml:space="preserve">Domestic                                       </t>
  </si>
  <si>
    <t>Demand Deposits</t>
  </si>
  <si>
    <t>TABLE-IA (concld.)</t>
  </si>
  <si>
    <t>Nature of Deposits</t>
  </si>
  <si>
    <t>Cotton Yarn</t>
  </si>
  <si>
    <t>Cotton Cloth</t>
  </si>
  <si>
    <t>Newsprint</t>
  </si>
  <si>
    <t>Fertilizers</t>
  </si>
  <si>
    <t>Iron and Steel</t>
  </si>
  <si>
    <t>Production Indices</t>
  </si>
  <si>
    <t>Agricultural Products</t>
  </si>
  <si>
    <t>Industrial Products</t>
  </si>
  <si>
    <t>70124</t>
  </si>
  <si>
    <t>17783</t>
  </si>
  <si>
    <t>5322</t>
  </si>
  <si>
    <t>81178</t>
  </si>
  <si>
    <t>5590</t>
  </si>
  <si>
    <t>37543</t>
  </si>
  <si>
    <t>66011</t>
  </si>
  <si>
    <t>3289</t>
  </si>
  <si>
    <t>48908</t>
  </si>
  <si>
    <t>7744</t>
  </si>
  <si>
    <t>34929</t>
  </si>
  <si>
    <t>12743</t>
  </si>
  <si>
    <t>11776</t>
  </si>
  <si>
    <t>10307</t>
  </si>
  <si>
    <t>43568</t>
  </si>
  <si>
    <t>15663</t>
  </si>
  <si>
    <t>472477</t>
  </si>
  <si>
    <t>Private Sector</t>
  </si>
  <si>
    <t>5.00-7.00</t>
  </si>
  <si>
    <t>Total Domestic Credit (6+9+10)</t>
  </si>
  <si>
    <t> 7586.5</t>
  </si>
  <si>
    <t>Other Revenue Receipts</t>
  </si>
  <si>
    <t>Post Office Revenue</t>
  </si>
  <si>
    <t>...</t>
  </si>
  <si>
    <t xml:space="preserve">2000-01 </t>
  </si>
  <si>
    <t xml:space="preserve">2001-02 </t>
  </si>
  <si>
    <t>..</t>
  </si>
  <si>
    <t>Items</t>
  </si>
  <si>
    <t>Country of Origin &amp; Market</t>
  </si>
  <si>
    <t>U.K. (London)</t>
  </si>
  <si>
    <t>---</t>
  </si>
  <si>
    <t>Sugar</t>
  </si>
  <si>
    <t>1)</t>
  </si>
  <si>
    <t>2)</t>
  </si>
  <si>
    <t>3)</t>
  </si>
  <si>
    <t>4)</t>
  </si>
  <si>
    <t>5)</t>
  </si>
  <si>
    <t xml:space="preserve">Note     : </t>
  </si>
  <si>
    <t xml:space="preserve">SOME SELECTED COMMODITY PRICES </t>
  </si>
  <si>
    <t>Dubai* Fateh</t>
  </si>
  <si>
    <t>U.K. @ Brent</t>
  </si>
  <si>
    <t>United States (US Gulf Ports)</t>
  </si>
  <si>
    <t>Malaysia (NW Europe)</t>
  </si>
  <si>
    <t>All Origins (Dutch Ports)</t>
  </si>
  <si>
    <t>Working Capital to Large &amp; Medium Scale Industry</t>
  </si>
  <si>
    <t>Working Capital to Small Industry</t>
  </si>
  <si>
    <t>TABLE-XV (Contd.)</t>
  </si>
  <si>
    <t xml:space="preserve">Private                                                                                                                                          Banks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</si>
  <si>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Private                                                                                                                                 Banks</t>
  </si>
  <si>
    <t>Foreign                                                                                                                              Banks</t>
  </si>
  <si>
    <t>HSBC</t>
  </si>
  <si>
    <t>TABLE-XV (Concld.)</t>
  </si>
  <si>
    <t>Thailand (Bangkok)</t>
  </si>
  <si>
    <t>Thailand </t>
  </si>
  <si>
    <t>Australia </t>
  </si>
  <si>
    <t>E.U Import Price</t>
  </si>
  <si>
    <t>Free Market</t>
  </si>
  <si>
    <t>U.S. Import Price</t>
  </si>
  <si>
    <t>(In Percent) </t>
  </si>
  <si>
    <t>Australian Dollar</t>
  </si>
  <si>
    <t>Malaysian Ringgit</t>
  </si>
  <si>
    <t>Syrian Pound</t>
  </si>
  <si>
    <t>Mudaraba Savings Deposits</t>
  </si>
  <si>
    <t>Mudaraba Term Deposits</t>
  </si>
  <si>
    <t>a)</t>
  </si>
  <si>
    <t>3 years</t>
  </si>
  <si>
    <t>b)</t>
  </si>
  <si>
    <t>2 years</t>
  </si>
  <si>
    <t>c)</t>
  </si>
  <si>
    <t>d)</t>
  </si>
  <si>
    <t>6 months</t>
  </si>
  <si>
    <t>e)</t>
  </si>
  <si>
    <t>3 months</t>
  </si>
  <si>
    <t>Mudaraba Special Notice Deposits</t>
  </si>
  <si>
    <t>Monthly Term Savings Deposit</t>
  </si>
  <si>
    <t>Monthly Savings Investment Deposit</t>
  </si>
  <si>
    <t xml:space="preserve"> </t>
  </si>
  <si>
    <t>14.43 </t>
  </si>
  <si>
    <t>13.84 </t>
  </si>
  <si>
    <t xml:space="preserve">Deposits with </t>
  </si>
  <si>
    <t>07.03.07</t>
  </si>
  <si>
    <t>09.05.07</t>
  </si>
  <si>
    <t>06.06.07</t>
  </si>
  <si>
    <t>04.07.07</t>
  </si>
  <si>
    <t>08.08.07</t>
  </si>
  <si>
    <t>05.09.07</t>
  </si>
  <si>
    <t>03.10.07</t>
  </si>
  <si>
    <t>08.11.07</t>
  </si>
  <si>
    <t>05.12.07</t>
  </si>
  <si>
    <t xml:space="preserve">MARKET CAPITALISATION (VALUE) OF ORDINARY SHARES OF COMPANIES </t>
  </si>
  <si>
    <t>Banks' Clearing House A/C during the Period</t>
  </si>
  <si>
    <t>Euro</t>
  </si>
  <si>
    <t>07.03.17</t>
  </si>
  <si>
    <t>09.05.17</t>
  </si>
  <si>
    <t>06.06.17</t>
  </si>
  <si>
    <t>…= Not available</t>
  </si>
  <si>
    <t xml:space="preserve">Note :      </t>
  </si>
  <si>
    <t xml:space="preserve">Net             </t>
  </si>
  <si>
    <t xml:space="preserve">Net                 </t>
  </si>
  <si>
    <t>9 = (7-8)</t>
  </si>
  <si>
    <t>6 = (4-5)</t>
  </si>
  <si>
    <t>3 = (1-2)</t>
  </si>
  <si>
    <t xml:space="preserve">Total             </t>
  </si>
  <si>
    <t>12 = (10+11)</t>
  </si>
  <si>
    <t xml:space="preserve">Total                        </t>
  </si>
  <si>
    <t xml:space="preserve">Total           </t>
  </si>
  <si>
    <t>14=(12+13)</t>
  </si>
  <si>
    <t>37=(14+36)</t>
  </si>
  <si>
    <t>38=(11-37)</t>
  </si>
  <si>
    <t>Others (Inclu-ding EPZ)</t>
  </si>
  <si>
    <t>10.09.08</t>
  </si>
  <si>
    <t>10.09.23</t>
  </si>
  <si>
    <t>14.01.09</t>
  </si>
  <si>
    <t>14.01.24</t>
  </si>
  <si>
    <t>11.02.09</t>
  </si>
  <si>
    <t>11.02.24</t>
  </si>
  <si>
    <t>11.03.09</t>
  </si>
  <si>
    <t>11.03.24</t>
  </si>
  <si>
    <t>15.04.09</t>
  </si>
  <si>
    <t>15.04.24</t>
  </si>
  <si>
    <t>13.05.09</t>
  </si>
  <si>
    <t>13.05.24</t>
  </si>
  <si>
    <t>10.06.09</t>
  </si>
  <si>
    <t>10.06.24</t>
  </si>
  <si>
    <t>15.07.09</t>
  </si>
  <si>
    <t>15.07.24</t>
  </si>
  <si>
    <t>12.08.09</t>
  </si>
  <si>
    <t>12.08.24</t>
  </si>
  <si>
    <t>09.09.09</t>
  </si>
  <si>
    <t>09.09.24</t>
  </si>
  <si>
    <t>05.03.08</t>
  </si>
  <si>
    <t>05.03.18</t>
  </si>
  <si>
    <t>GDP at Current Producer Price     (1 to 15)</t>
  </si>
  <si>
    <t>GDP at Current Market Price (16+17)</t>
  </si>
  <si>
    <t>Gross National Income (GNI) (18+19)</t>
  </si>
  <si>
    <t>GDP at Constant Producer Price     (1 to 15)</t>
  </si>
  <si>
    <t>GDP at Constant Market Price (16+17)</t>
  </si>
  <si>
    <t>03.03.20</t>
  </si>
  <si>
    <t>Monetary Assets (14+15)</t>
  </si>
  <si>
    <t>Total Advances  (excluding    inter-bank)    (18+19)</t>
  </si>
  <si>
    <t>Total Bills   (excluding inter-bank) (22+23)</t>
  </si>
  <si>
    <t>Total Investment  (excluding        inter-bank)      (26+27)</t>
  </si>
  <si>
    <t>To            Banks     (17+21+25)</t>
  </si>
  <si>
    <t>Total    Deposit Liabilities    (37+38)</t>
  </si>
  <si>
    <t xml:space="preserve"> Excess Reserve  (42-40)</t>
  </si>
  <si>
    <t xml:space="preserve"> rates from July 2009 &amp; onwards.</t>
  </si>
  <si>
    <t> 69.1</t>
  </si>
  <si>
    <t xml:space="preserve">Total Credit to Government (Gross) by the                Banking System </t>
  </si>
  <si>
    <t>Swiss Franc</t>
  </si>
  <si>
    <t> 1558</t>
  </si>
  <si>
    <r>
      <rPr>
        <b/>
        <sz val="8"/>
        <color indexed="8"/>
        <rFont val="Times New Roman"/>
        <family val="1"/>
      </rPr>
      <t>Source:</t>
    </r>
    <r>
      <rPr>
        <sz val="8"/>
        <color indexed="8"/>
        <rFont val="Times New Roman"/>
        <family val="1"/>
      </rPr>
      <t xml:space="preserve"> </t>
    </r>
  </si>
  <si>
    <t>A Dry Metric Ton Unit (DMTU) has the same mass value as a metric ton, but the material has been dried to decrease the moisture level.</t>
  </si>
  <si>
    <r>
      <t>*Claims on Govt.(net) reported by the banking sector in M</t>
    </r>
    <r>
      <rPr>
        <vertAlign val="subscript"/>
        <sz val="7"/>
        <rFont val="Times New Roman"/>
        <family val="1"/>
      </rPr>
      <t xml:space="preserve">2 </t>
    </r>
    <r>
      <rPr>
        <sz val="7"/>
        <rFont val="Times New Roman"/>
        <family val="1"/>
      </rPr>
      <t>differs with M</t>
    </r>
    <r>
      <rPr>
        <vertAlign val="subscript"/>
        <sz val="7"/>
        <rFont val="Times New Roman"/>
        <family val="1"/>
      </rPr>
      <t xml:space="preserve">3 </t>
    </r>
    <r>
      <rPr>
        <sz val="7"/>
        <rFont val="Times New Roman"/>
        <family val="1"/>
      </rPr>
      <t xml:space="preserve">due to exclusion of </t>
    </r>
  </si>
  <si>
    <t>*Government (Net)</t>
  </si>
  <si>
    <t>**NSD</t>
  </si>
  <si>
    <r>
      <t xml:space="preserve">Source  :  Banking Regulation and Policy Department, Bangladesh Bank.                            </t>
    </r>
    <r>
      <rPr>
        <sz val="8.5"/>
        <rFont val="Times New Roman"/>
        <family val="1"/>
      </rPr>
      <t xml:space="preserve">          </t>
    </r>
    <r>
      <rPr>
        <sz val="10"/>
        <rFont val="Arial"/>
        <family val="2"/>
      </rPr>
      <t xml:space="preserve">                                                                                            </t>
    </r>
  </si>
  <si>
    <t>1. Monetary Survey data have been revised according to the new format from June 2002 and onwards. </t>
  </si>
  <si>
    <t>2. *Total credit to government (net) by the banking system equals to total claims on government (gross) excluding government</t>
  </si>
  <si>
    <t>100588</t>
  </si>
  <si>
    <t>24223</t>
  </si>
  <si>
    <t>8114</t>
  </si>
  <si>
    <t>120108</t>
  </si>
  <si>
    <t>7195</t>
  </si>
  <si>
    <t>55658</t>
  </si>
  <si>
    <t>100295</t>
  </si>
  <si>
    <t>5150</t>
  </si>
  <si>
    <t>71880</t>
  </si>
  <si>
    <t>12300</t>
  </si>
  <si>
    <t>360845</t>
  </si>
  <si>
    <t>12.94</t>
  </si>
  <si>
    <t>6.07</t>
  </si>
  <si>
    <t>47536</t>
  </si>
  <si>
    <t>51959</t>
  </si>
  <si>
    <t>394419</t>
  </si>
  <si>
    <t>24705</t>
  </si>
  <si>
    <t>27003</t>
  </si>
  <si>
    <t>Foreign Trade &amp; Foreign Exchange  Reserves (Million US $)</t>
  </si>
  <si>
    <t xml:space="preserve">Oil Products = Soya bean + Vegetable Oil (Dalda) </t>
  </si>
  <si>
    <t xml:space="preserve">Food Products = Atta, Maida &amp; Suji.  </t>
  </si>
  <si>
    <t xml:space="preserve">Fertilizer = Urea + Ammonium Sulphate + TSP + SSP + DAP </t>
  </si>
  <si>
    <t>16.03.16</t>
  </si>
  <si>
    <t>07.04.10</t>
  </si>
  <si>
    <t>07.04.20</t>
  </si>
  <si>
    <t>05.05.10</t>
  </si>
  <si>
    <t>05.05.20</t>
  </si>
  <si>
    <t>02.06.10</t>
  </si>
  <si>
    <t>02.06.20</t>
  </si>
  <si>
    <t>07.07.10</t>
  </si>
  <si>
    <t>07.07.20</t>
  </si>
  <si>
    <t>04.08.10</t>
  </si>
  <si>
    <t>04.08.20</t>
  </si>
  <si>
    <t>08.09.20</t>
  </si>
  <si>
    <t>06.10.10</t>
  </si>
  <si>
    <t>03.11.10</t>
  </si>
  <si>
    <t>03.11.20</t>
  </si>
  <si>
    <t>08.12.10</t>
  </si>
  <si>
    <t>08.12.20</t>
  </si>
  <si>
    <t>05.01.11</t>
  </si>
  <si>
    <t>05.01.21</t>
  </si>
  <si>
    <t>02.02.11</t>
  </si>
  <si>
    <t>02.02.21</t>
  </si>
  <si>
    <t>02.03.11</t>
  </si>
  <si>
    <t>02.03.21</t>
  </si>
  <si>
    <t>16.01.11</t>
  </si>
  <si>
    <t>15.04.10</t>
  </si>
  <si>
    <t>15.04.25</t>
  </si>
  <si>
    <t>12.05.10</t>
  </si>
  <si>
    <t>12.05.25</t>
  </si>
  <si>
    <t>09.06.10</t>
  </si>
  <si>
    <t>09.06.25</t>
  </si>
  <si>
    <t>14.07.10</t>
  </si>
  <si>
    <t>14.07.25</t>
  </si>
  <si>
    <t>11.08.10</t>
  </si>
  <si>
    <t>11.08.25</t>
  </si>
  <si>
    <t>15.09.10</t>
  </si>
  <si>
    <t>15.09.25</t>
  </si>
  <si>
    <t>13.10.10</t>
  </si>
  <si>
    <t>13.10.25</t>
  </si>
  <si>
    <t>10.11.10</t>
  </si>
  <si>
    <t>10.11.25</t>
  </si>
  <si>
    <t>15.12.10</t>
  </si>
  <si>
    <t>15.12.25</t>
  </si>
  <si>
    <t>09.02.11</t>
  </si>
  <si>
    <t>09.02.26</t>
  </si>
  <si>
    <t>09.03.11</t>
  </si>
  <si>
    <t>09.03.26</t>
  </si>
  <si>
    <t>28.04.10</t>
  </si>
  <si>
    <t>28.04.30</t>
  </si>
  <si>
    <t>26.05.10</t>
  </si>
  <si>
    <t>26.05.30</t>
  </si>
  <si>
    <t>23.06.10</t>
  </si>
  <si>
    <t>23.06.30</t>
  </si>
  <si>
    <t>29.07.10</t>
  </si>
  <si>
    <t>29.07.30</t>
  </si>
  <si>
    <t>25.08.10</t>
  </si>
  <si>
    <t>25.08.30</t>
  </si>
  <si>
    <t>29.09.10</t>
  </si>
  <si>
    <t>29.09.30</t>
  </si>
  <si>
    <t>27.10.10</t>
  </si>
  <si>
    <t>27.10.30</t>
  </si>
  <si>
    <t>24.11.10</t>
  </si>
  <si>
    <t>24.11.30</t>
  </si>
  <si>
    <t>29.12.10</t>
  </si>
  <si>
    <t>26.01.11</t>
  </si>
  <si>
    <t>26.01.31</t>
  </si>
  <si>
    <t>23.02.11</t>
  </si>
  <si>
    <t>23.02.31</t>
  </si>
  <si>
    <t>23.03.11</t>
  </si>
  <si>
    <t>23.03.31</t>
  </si>
  <si>
    <t>20.04.16</t>
  </si>
  <si>
    <t>06.04.11</t>
  </si>
  <si>
    <t>06.04.21</t>
  </si>
  <si>
    <t>16.01.18</t>
  </si>
  <si>
    <t>16.01.21</t>
  </si>
  <si>
    <t>13.04.11</t>
  </si>
  <si>
    <t>13.04.26</t>
  </si>
  <si>
    <t>27.04.11</t>
  </si>
  <si>
    <t>27.04.31</t>
  </si>
  <si>
    <r>
      <t xml:space="preserve">           Note:</t>
    </r>
    <r>
      <rPr>
        <sz val="6"/>
        <rFont val="Times New Roman"/>
        <family val="1"/>
      </rPr>
      <t xml:space="preserve">  </t>
    </r>
  </si>
  <si>
    <r>
      <t xml:space="preserve">             Source: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</si>
  <si>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Note :</t>
  </si>
  <si>
    <t>Export data are on fob basis.</t>
  </si>
  <si>
    <t>1. (+) indicates appreciation while (-) indicates depreciation.</t>
  </si>
  <si>
    <t>64604</t>
  </si>
  <si>
    <r>
      <rPr>
        <b/>
        <sz val="8"/>
        <color indexed="8"/>
        <rFont val="Times New Roman"/>
        <family val="1"/>
      </rPr>
      <t>Note:</t>
    </r>
    <r>
      <rPr>
        <sz val="8"/>
        <color indexed="8"/>
        <rFont val="Times New Roman"/>
        <family val="1"/>
      </rPr>
      <t xml:space="preserve">   </t>
    </r>
  </si>
  <si>
    <t>July-Dec.</t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</si>
  <si>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</si>
  <si>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</si>
  <si>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</si>
  <si>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</si>
  <si>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</si>
  <si>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</si>
  <si>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</si>
  <si>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</si>
  <si>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</si>
  <si>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</si>
  <si>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</si>
  <si>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</si>
  <si>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XIII</t>
  </si>
  <si>
    <t>XIV</t>
  </si>
  <si>
    <t>XV</t>
  </si>
  <si>
    <t>XVI</t>
  </si>
  <si>
    <t>XVII</t>
  </si>
  <si>
    <t>XVIII</t>
  </si>
  <si>
    <t>XIX</t>
  </si>
  <si>
    <t>XX</t>
  </si>
  <si>
    <t>XXI</t>
  </si>
  <si>
    <t>XXII</t>
  </si>
  <si>
    <t>XXIII</t>
  </si>
  <si>
    <t>XXIV</t>
  </si>
  <si>
    <t>XXV</t>
  </si>
  <si>
    <t>XXVI</t>
  </si>
  <si>
    <t>XXVII</t>
  </si>
  <si>
    <t>XXVIII</t>
  </si>
  <si>
    <t>XXIX</t>
  </si>
  <si>
    <t>XXX</t>
  </si>
  <si>
    <t>XXXI</t>
  </si>
  <si>
    <t>XXXII</t>
  </si>
  <si>
    <t>XXXIII</t>
  </si>
  <si>
    <t>XXXIV</t>
  </si>
  <si>
    <t>XXXV</t>
  </si>
  <si>
    <t>XXXVI</t>
  </si>
  <si>
    <t>XXXVII</t>
  </si>
  <si>
    <t>XXXVIII</t>
  </si>
  <si>
    <t>XXXIX</t>
  </si>
  <si>
    <t>XL</t>
  </si>
  <si>
    <t>XLI</t>
  </si>
  <si>
    <t>XLII</t>
  </si>
  <si>
    <t>XLIII</t>
  </si>
  <si>
    <t>XLIV</t>
  </si>
  <si>
    <t>XLV</t>
  </si>
  <si>
    <t>XLVI</t>
  </si>
  <si>
    <t>XLVII</t>
  </si>
  <si>
    <t>XLVIII</t>
  </si>
  <si>
    <t>XLIX</t>
  </si>
  <si>
    <t>L</t>
  </si>
  <si>
    <t>LI</t>
  </si>
  <si>
    <t>LII</t>
  </si>
  <si>
    <t>LIII</t>
  </si>
  <si>
    <t>LIV</t>
  </si>
  <si>
    <t>LV</t>
  </si>
  <si>
    <t>LVI</t>
  </si>
  <si>
    <t>LVII</t>
  </si>
  <si>
    <t>LVIII</t>
  </si>
  <si>
    <t>LIX</t>
  </si>
  <si>
    <t>LX</t>
  </si>
  <si>
    <t>LXI</t>
  </si>
  <si>
    <t>LXII</t>
  </si>
  <si>
    <t>LXIII</t>
  </si>
  <si>
    <t>LXIV</t>
  </si>
  <si>
    <t>LXV</t>
  </si>
  <si>
    <t>LXVI</t>
  </si>
  <si>
    <t>LXVII</t>
  </si>
  <si>
    <t>LXVIII</t>
  </si>
  <si>
    <t>LXIX</t>
  </si>
  <si>
    <t>LXX</t>
  </si>
  <si>
    <t>LXXI</t>
  </si>
  <si>
    <t>LXXII</t>
  </si>
  <si>
    <t>LXXIII</t>
  </si>
  <si>
    <t>LXXIV</t>
  </si>
  <si>
    <t>Interest free</t>
  </si>
  <si>
    <t>Italy</t>
  </si>
  <si>
    <t>Hong Kong</t>
  </si>
  <si>
    <t xml:space="preserve">Note   : </t>
  </si>
  <si>
    <t xml:space="preserve">     Source :</t>
  </si>
  <si>
    <t xml:space="preserve">     Note :</t>
  </si>
  <si>
    <t>2011-12</t>
  </si>
  <si>
    <t>South Korea</t>
  </si>
  <si>
    <t>Others figure were included the remittances of Australia, Italy, South Korea and HongKong before 2001-02.</t>
  </si>
  <si>
    <t xml:space="preserve">Source :   </t>
  </si>
  <si>
    <t>1 Bushel</t>
  </si>
  <si>
    <t>STATISTICAL TABLES</t>
  </si>
  <si>
    <t>IA</t>
  </si>
  <si>
    <t>Selected Economic Indicators (Money and Banking)</t>
  </si>
  <si>
    <t>IB</t>
  </si>
  <si>
    <t>IIA</t>
  </si>
  <si>
    <t>IIB</t>
  </si>
  <si>
    <t>Claims on Resident Sector by the Banking System</t>
  </si>
  <si>
    <t>IIC</t>
  </si>
  <si>
    <t>Reserve Money and its Components</t>
  </si>
  <si>
    <t>IID</t>
  </si>
  <si>
    <t>Reserve Money and its Sources</t>
  </si>
  <si>
    <t>IIE</t>
  </si>
  <si>
    <t>IIF</t>
  </si>
  <si>
    <t>IIIA</t>
  </si>
  <si>
    <t>Balance of  Payments</t>
  </si>
  <si>
    <t>IIIB</t>
  </si>
  <si>
    <t>Foreign Direct Investment (FDI) Inflows and Stocks by Components in Bangladesh</t>
  </si>
  <si>
    <t>Foreign Trade</t>
  </si>
  <si>
    <t xml:space="preserve">Production of Major Agricultural Commodities </t>
  </si>
  <si>
    <t xml:space="preserve">Production of Major Industrial Commodities (Other than Jute Goods) </t>
  </si>
  <si>
    <t>Consumer Price Index and Inflation Rate in Bangladesh</t>
  </si>
  <si>
    <t>Average Prices of Selected Commodities</t>
  </si>
  <si>
    <t>Gross Domestic Product of Bangladesh at Current Market Price</t>
  </si>
  <si>
    <t xml:space="preserve">Gross Domestic Product of Bangladesh at Constant Market Price </t>
  </si>
  <si>
    <t>Key Indicators of National Accounts</t>
  </si>
  <si>
    <t xml:space="preserve">Interest Rate Structure of Government Securities/Bonds and Savings Instruments </t>
  </si>
  <si>
    <t xml:space="preserve">Rate of Interest on Non-resident Foreign Currency Deposit (NFCD) Accounts </t>
  </si>
  <si>
    <t>Monthly Average Call Money Market Rates</t>
  </si>
  <si>
    <t>Some Indicators of Income, Expenditure &amp; Profitability of the Banking Sector</t>
  </si>
  <si>
    <t>Number of Persons Left for Abroad on Employment and Total Workers’ Remittances</t>
  </si>
  <si>
    <t>Country-wise Workers’ Remittances</t>
  </si>
  <si>
    <t>Exchange Rates (Taka Per Currencies)</t>
  </si>
  <si>
    <t>Appreciation/Depreciation of Some Selected Currencies Against U.S. Dollar</t>
  </si>
  <si>
    <t>Some Selected Commodity Prices at International Markets</t>
  </si>
  <si>
    <t>Selected Tax Revenue Receipts of the Government Under NBR and Others</t>
  </si>
  <si>
    <t>Appendix : Weights and Measures</t>
  </si>
  <si>
    <t>Wholesale Price Indices data discontinued from 2006-07 due to dropping of BBS data.</t>
  </si>
  <si>
    <t>15.00-16.00</t>
  </si>
  <si>
    <t>Mudaraba Education Deposit Scheme</t>
  </si>
  <si>
    <t>Mudaraba Monthly Profit Deposit Scheme (5 yrs.)</t>
  </si>
  <si>
    <t>Mudaraba Monthly Profit Deposit Scheme (3 yrs.)</t>
  </si>
  <si>
    <t>Market Capitalisation (Value) of Ordinary Shares of Companies Listed with the Dhaka Stock Exchange Ltd.</t>
  </si>
  <si>
    <t>Index Number of  Ordinary Share Prices, Turn Over, Issued Capital and Total Number of Companies Listed with the Dhaka Stock Exchange Ltd.</t>
  </si>
  <si>
    <t>Monetary Survey (M2)</t>
  </si>
  <si>
    <t xml:space="preserve">Monetary Survey (M3)  </t>
  </si>
  <si>
    <t>10.00-13.00</t>
  </si>
  <si>
    <t>13.00-15.00</t>
  </si>
  <si>
    <t>Cash     Base     of the Economy (3+42)</t>
  </si>
  <si>
    <t>Portfolio  Investment</t>
  </si>
  <si>
    <t>Other Investment</t>
  </si>
  <si>
    <t>Reserve Assets</t>
  </si>
  <si>
    <t xml:space="preserve">   Lea-  ther</t>
  </si>
  <si>
    <t>Ready made Garments    (including   Knit Wear  &amp; Hosiery)</t>
  </si>
  <si>
    <t>Naptha Furnace oil &amp; Bitumen</t>
  </si>
  <si>
    <t>News  Print</t>
  </si>
  <si>
    <t>Ferti-lizers</t>
  </si>
  <si>
    <t>Oil  seeds</t>
  </si>
  <si>
    <t xml:space="preserve">    Edible      oil</t>
  </si>
  <si>
    <t>Chemi-  cals</t>
  </si>
  <si>
    <t>Textile and articles thereof</t>
  </si>
  <si>
    <t>Staple fibres</t>
  </si>
  <si>
    <t>Iron  &amp; Steel</t>
  </si>
  <si>
    <t xml:space="preserve">      Qatar     Riyal</t>
  </si>
  <si>
    <t xml:space="preserve">     Swiss    Franc</t>
  </si>
  <si>
    <t xml:space="preserve">   Customs     Duty</t>
  </si>
  <si>
    <t xml:space="preserve">     Income   Tax</t>
  </si>
  <si>
    <t>LXXV</t>
  </si>
  <si>
    <t>LXXVI</t>
  </si>
  <si>
    <t>LXXVII</t>
  </si>
  <si>
    <t>LXXVIII</t>
  </si>
  <si>
    <t>LXXIX</t>
  </si>
  <si>
    <t>LXXX</t>
  </si>
  <si>
    <t>Soybean  (US $/ MT)</t>
  </si>
  <si>
    <t>  Total Credit    (excluding        inter-bank)  (20+24+28)</t>
  </si>
  <si>
    <t>Average Credit per    DMB       Branch    (in crore)</t>
  </si>
  <si>
    <t>Total (excluding inter-bank) (7+10)</t>
  </si>
  <si>
    <t xml:space="preserve">  Other Resident      Sector </t>
  </si>
  <si>
    <t xml:space="preserve">     Other Resident           Sector</t>
  </si>
  <si>
    <t xml:space="preserve">    Equity    Capital</t>
  </si>
  <si>
    <t xml:space="preserve">   Equity    Capital</t>
  </si>
  <si>
    <t xml:space="preserve">A.  Government Treasury Bonds </t>
  </si>
  <si>
    <t xml:space="preserve">    Total   Manpower</t>
  </si>
  <si>
    <t>Total   Manpower</t>
  </si>
  <si>
    <t xml:space="preserve">  Net Profit After Tax</t>
  </si>
  <si>
    <t xml:space="preserve">     Net      Profit</t>
  </si>
  <si>
    <t xml:space="preserve">    Total       Income</t>
  </si>
  <si>
    <t xml:space="preserve">     Total    Manpower</t>
  </si>
  <si>
    <t xml:space="preserve">1. Taka/USD exchange rate represents </t>
  </si>
  <si>
    <t xml:space="preserve">    In taka    A/C</t>
  </si>
  <si>
    <t xml:space="preserve">  Govern-     ment    (Net)</t>
  </si>
  <si>
    <t xml:space="preserve">  Banking Sector</t>
  </si>
  <si>
    <t xml:space="preserve">  Total (1+2+3)</t>
  </si>
  <si>
    <t xml:space="preserve">   Total  (5+6+7)</t>
  </si>
  <si>
    <t>Total (9+10)</t>
  </si>
  <si>
    <t xml:space="preserve">   Banking  Sector</t>
  </si>
  <si>
    <t>Total  (12+13)</t>
  </si>
  <si>
    <t>Editorial Committee</t>
  </si>
  <si>
    <t>Chairman</t>
  </si>
  <si>
    <t xml:space="preserve">Members </t>
  </si>
  <si>
    <t xml:space="preserve">Statistics Department </t>
  </si>
  <si>
    <t xml:space="preserve">Bangladesh Bank         </t>
  </si>
  <si>
    <t xml:space="preserve">Head Office, Dhaka.            </t>
  </si>
  <si>
    <t>Ratio of DMBs Credit to Deposits  (in percent) </t>
  </si>
  <si>
    <t xml:space="preserve">       Coal            (US $/MT)</t>
  </si>
  <si>
    <t>Date/ Period of Maturity</t>
  </si>
  <si>
    <t>Category of Instruments</t>
  </si>
  <si>
    <t>Effective Date</t>
  </si>
  <si>
    <t>Reinvested  Earning</t>
  </si>
  <si>
    <t xml:space="preserve">  Intra-company Loans</t>
  </si>
  <si>
    <t>Intra-company Loans</t>
  </si>
  <si>
    <t>Reinvested Earning</t>
  </si>
  <si>
    <t>Petro- leum Products</t>
  </si>
  <si>
    <t>Others (Including EPZ)</t>
  </si>
  <si>
    <t xml:space="preserve">  Pulses     (all sorts)</t>
  </si>
  <si>
    <t xml:space="preserve">        Area       (in '000' acres)</t>
  </si>
  <si>
    <t xml:space="preserve">     Production       (in '000'  tons)</t>
  </si>
  <si>
    <t xml:space="preserve">     Production   (in '000'  tons)</t>
  </si>
  <si>
    <t xml:space="preserve">      Total          Manpower</t>
  </si>
  <si>
    <t xml:space="preserve"> Net Profit After Tax</t>
  </si>
  <si>
    <t xml:space="preserve">    Total   Income</t>
  </si>
  <si>
    <t xml:space="preserve">    Total    Income</t>
  </si>
  <si>
    <t>04.05.11</t>
  </si>
  <si>
    <t>08.06.11</t>
  </si>
  <si>
    <t>13.07.11</t>
  </si>
  <si>
    <t>10.08.11</t>
  </si>
  <si>
    <t>04.05.21</t>
  </si>
  <si>
    <t>08.06.21</t>
  </si>
  <si>
    <t>13.07.21</t>
  </si>
  <si>
    <t>10.08.21</t>
  </si>
  <si>
    <t>LXXXII</t>
  </si>
  <si>
    <t>LXXXIII</t>
  </si>
  <si>
    <t>LXXXIV</t>
  </si>
  <si>
    <t>LXXXV</t>
  </si>
  <si>
    <t>LXXXVI</t>
  </si>
  <si>
    <t>LXXXVII</t>
  </si>
  <si>
    <t>LXXXVIII</t>
  </si>
  <si>
    <t>LXXXIX</t>
  </si>
  <si>
    <t xml:space="preserve">Selected Economic Indicators ( Inflation, Production Index, Foreign Trade, Forex Reserves and Exchange Rate) </t>
  </si>
  <si>
    <t>( Inflation, Production Index, Foreign Trade,</t>
  </si>
  <si>
    <t xml:space="preserve">CLAIMS ON RESIDENT SECTORS </t>
  </si>
  <si>
    <t xml:space="preserve">     (a) The mid-value of buying and selling  rates of Bangladesh Bank ( up to May 30, 2003).</t>
  </si>
  <si>
    <t xml:space="preserve">     (b) Mid-value of buying and selling rates in the interbank market ( from May 31, 2003 and onwards).          </t>
  </si>
  <si>
    <t>2. Exchange rates between Taka and other foreign currencies (except USD) are based on their cross rates with US dollar.</t>
  </si>
  <si>
    <t xml:space="preserve"> 25.01.12</t>
  </si>
  <si>
    <t xml:space="preserve"> 25.01.32</t>
  </si>
  <si>
    <t xml:space="preserve"> 28.12.31</t>
  </si>
  <si>
    <t xml:space="preserve"> 26.10.31</t>
  </si>
  <si>
    <t xml:space="preserve"> 01.11.93</t>
  </si>
  <si>
    <t xml:space="preserve"> 30.06.94</t>
  </si>
  <si>
    <t xml:space="preserve"> 01.07.95</t>
  </si>
  <si>
    <t>12.00-13.00</t>
  </si>
  <si>
    <t>Balances with BB*</t>
  </si>
  <si>
    <t>**Total credit to government (gross) by the banking system equals to total claims on government (gross) excluding government</t>
  </si>
  <si>
    <t>**Total Credit to Govt. (45+46+ 47+48)</t>
  </si>
  <si>
    <t>***Loans &amp; Advances</t>
  </si>
  <si>
    <t xml:space="preserve"> &lt; 1.00 crore</t>
  </si>
  <si>
    <t>1.00 crore but  &lt; 25.00 crore</t>
  </si>
  <si>
    <t>25.00 crore but  &lt; 50.00 crore</t>
  </si>
  <si>
    <t>50.00 crore but  &lt; 100.00 crore</t>
  </si>
  <si>
    <t>100.00 crore and above</t>
  </si>
  <si>
    <t>3 months but &lt;6 months</t>
  </si>
  <si>
    <t>6 months but &lt; 1 year</t>
  </si>
  <si>
    <t>1 year but&lt; 2 years</t>
  </si>
  <si>
    <t>2 years but &lt; 3 years</t>
  </si>
  <si>
    <t>3 years &amp; above</t>
  </si>
  <si>
    <t>Special Notice Deposits (SND):</t>
  </si>
  <si>
    <t xml:space="preserve">   Effective   Date</t>
  </si>
  <si>
    <t xml:space="preserve">5-year  (BD) Govt. Treasury Bond </t>
  </si>
  <si>
    <t>10-year (BD) Govt. Treasury Bond</t>
  </si>
  <si>
    <t>15 year (BD) Govt.  Treasury Bond</t>
  </si>
  <si>
    <t>20 year  (BD) Govt. Treasury Bond</t>
  </si>
  <si>
    <t>10 year (BPC) Govt. Special Treasury Bond</t>
  </si>
  <si>
    <t>12 year (BPC) Govt. Special Treasury Bond</t>
  </si>
  <si>
    <t>13 year (BPC) Govt. Special Treasury Bond</t>
  </si>
  <si>
    <t>14 year (BPC) Govt. Special Treasury Bond</t>
  </si>
  <si>
    <t>BJMC &amp; BTMC special T. Bonds</t>
  </si>
  <si>
    <t>11-year (BJMC)(Sonali Bank) T. Bond</t>
  </si>
  <si>
    <t>11-year (BJMC) (Janata Bank)T. Bond</t>
  </si>
  <si>
    <t>11-year (BJMC) (Agrani Bank) T. Bond</t>
  </si>
  <si>
    <t>13-year (BJMC) (Sonali Bank)T. Bond</t>
  </si>
  <si>
    <t>13-year (BJMC) (Janata Bank) T. Bond</t>
  </si>
  <si>
    <t>13-year (BJMC) (Agrani Bank) T. Bond</t>
  </si>
  <si>
    <t>6-year (BPC)(Agrani Bank) T.Bond</t>
  </si>
  <si>
    <t>6-year (BPC)(Janata) T.Bond</t>
  </si>
  <si>
    <t>6-year (BPC)(Sonali) T.Bond</t>
  </si>
  <si>
    <t xml:space="preserve">9-year  (BJMC)(Sonali Bank) T. Bond </t>
  </si>
  <si>
    <t>15 year (BPC) Govt. Special Treasury Bond</t>
  </si>
  <si>
    <t xml:space="preserve">9-year  (BJMC) (Janata Bank) T. Bond </t>
  </si>
  <si>
    <t>9-year  (BJMC)(Agrani Bank) T. Bond</t>
  </si>
  <si>
    <t xml:space="preserve"> 29.02.12</t>
  </si>
  <si>
    <t>25-year (Jute) Treasury Bond</t>
  </si>
  <si>
    <t xml:space="preserve"> - = Nil</t>
  </si>
  <si>
    <t>2.  FC clearing A/C. balances excluded from reserve money w.e.f 2001-02 and onwards.</t>
  </si>
  <si>
    <t>Reserve Money (1+2+3+5)</t>
  </si>
  <si>
    <t>Commercial Banks</t>
  </si>
  <si>
    <t>SOME INDICATORS OF INCOME, EXPENDITURE &amp;</t>
  </si>
  <si>
    <t>PROFITABILITY OF THE BANKING SECTOR</t>
  </si>
  <si>
    <t>State Owned Banks</t>
  </si>
  <si>
    <t xml:space="preserve">      Total Income</t>
  </si>
  <si>
    <t xml:space="preserve"> Financial  Corporation</t>
  </si>
  <si>
    <t xml:space="preserve">BANK WISE ANNOUNCED INTEREST RATE STRUCTURE </t>
  </si>
  <si>
    <t xml:space="preserve">Claims on Resident Sectors by Depository Corporations </t>
  </si>
  <si>
    <t xml:space="preserve"> 29.02.32</t>
  </si>
  <si>
    <t xml:space="preserve"> 28.03.12</t>
  </si>
  <si>
    <t xml:space="preserve"> 28.03.32</t>
  </si>
  <si>
    <t xml:space="preserve"> 25.04.12</t>
  </si>
  <si>
    <t xml:space="preserve"> 25.04.32</t>
  </si>
  <si>
    <t>Commercial Bank of Ceylon</t>
  </si>
  <si>
    <t>385050</t>
  </si>
  <si>
    <t>14.75</t>
  </si>
  <si>
    <t>6.71</t>
  </si>
  <si>
    <t>14.97</t>
  </si>
  <si>
    <t>15.16</t>
  </si>
  <si>
    <t>207</t>
  </si>
  <si>
    <t>25721</t>
  </si>
  <si>
    <t>420097</t>
  </si>
  <si>
    <t>28072</t>
  </si>
  <si>
    <t>Annual Growth    of GDP at Current Market Price %</t>
  </si>
  <si>
    <t>72514</t>
  </si>
  <si>
    <t>GDP Deflator</t>
  </si>
  <si>
    <r>
      <rPr>
        <b/>
        <sz val="8"/>
        <rFont val="Times New Roman"/>
        <family val="1"/>
      </rPr>
      <t>Source :</t>
    </r>
    <r>
      <rPr>
        <sz val="8"/>
        <rFont val="Times New Roman"/>
        <family val="1"/>
      </rPr>
      <t xml:space="preserve"> </t>
    </r>
  </si>
  <si>
    <t>i) Data have been valued using the concept of the "Own Funds at Book Value (OFBV)", which may differ from market value of stocks.</t>
  </si>
  <si>
    <t>Total Popula-tion (in Crore)</t>
  </si>
  <si>
    <t xml:space="preserve">Deputy General Manager            </t>
  </si>
  <si>
    <t>2012-13</t>
  </si>
  <si>
    <t>Currency Out side Banks</t>
  </si>
  <si>
    <t>Point- to- Point (Base: 2005-06=100)</t>
  </si>
  <si>
    <t>Point- to- Point (Base: 1995-96=100)</t>
  </si>
  <si>
    <t>12- Month Average (Base: 2005-06=100)</t>
  </si>
  <si>
    <t>12- Month Average (Base: 1995-96=100)</t>
  </si>
  <si>
    <r>
      <t xml:space="preserve">Rate of Inflation in Bangladesh </t>
    </r>
    <r>
      <rPr>
        <b/>
        <sz val="9"/>
        <color indexed="8"/>
        <rFont val="Times New Roman"/>
        <family val="1"/>
      </rPr>
      <t xml:space="preserve">  Measured by Consumer  Price Index  (CPI)      </t>
    </r>
  </si>
  <si>
    <t>Note: OB= Old Base : 1995-96=100, NB=New Base :2005-06=100</t>
  </si>
  <si>
    <t>General (Mfg)</t>
  </si>
  <si>
    <t>Chinese Yuan</t>
  </si>
  <si>
    <t xml:space="preserve"> Danish Krone</t>
  </si>
  <si>
    <t xml:space="preserve"> Hongkong Dollar</t>
  </si>
  <si>
    <t>Indone-sian   Rupiah</t>
  </si>
  <si>
    <t>Japanese  Yen</t>
  </si>
  <si>
    <t>Kuwait Dinar</t>
  </si>
  <si>
    <t>Malay-sian Ringgit</t>
  </si>
  <si>
    <t>Myan-mar Kyat</t>
  </si>
  <si>
    <t>Norwe-gian Krone</t>
  </si>
  <si>
    <t>Pakistan Rupee</t>
  </si>
  <si>
    <t>Philippi-nes Peso</t>
  </si>
  <si>
    <t>Russian Rouble</t>
  </si>
  <si>
    <t xml:space="preserve">  Saudi    Riyal</t>
  </si>
  <si>
    <t xml:space="preserve"> Singapore    Dollar</t>
  </si>
  <si>
    <t xml:space="preserve"> Swedish  Krona</t>
  </si>
  <si>
    <t>Sri Lankan Rupee</t>
  </si>
  <si>
    <t>Thai  Bhat</t>
  </si>
  <si>
    <t>U.A.E  Derham</t>
  </si>
  <si>
    <t>U.K.  Pound   Sterling</t>
  </si>
  <si>
    <t xml:space="preserve">   Index of Industrial Production     Base:  1988-89=100</t>
  </si>
  <si>
    <t>Foreign Banks</t>
  </si>
  <si>
    <t xml:space="preserve">SOME INDICATORS OF INCOME, EXPENDITURE &amp; </t>
  </si>
  <si>
    <t>APPRECIATION / DEPRECIATION OF SELECTED</t>
  </si>
  <si>
    <t>2. Euro is a common currency of the 17 member countries of European Economic and Monetary Union (E.M.U)</t>
  </si>
  <si>
    <t xml:space="preserve">   which was  introduced from 1st January, 1999 </t>
  </si>
  <si>
    <t>06.06.12</t>
  </si>
  <si>
    <t xml:space="preserve"> 30.05.12</t>
  </si>
  <si>
    <t xml:space="preserve"> 27.06.12</t>
  </si>
  <si>
    <t xml:space="preserve"> 25.07.12</t>
  </si>
  <si>
    <t xml:space="preserve"> 30.05.32</t>
  </si>
  <si>
    <t xml:space="preserve"> 27.06.32</t>
  </si>
  <si>
    <t xml:space="preserve"> 25.07.32</t>
  </si>
  <si>
    <t xml:space="preserve"> Debt Management Department, Bangladesh Bank</t>
  </si>
  <si>
    <t xml:space="preserve">June </t>
  </si>
  <si>
    <t xml:space="preserve">2011-12 </t>
  </si>
  <si>
    <t>Commercial                                                                    Banks</t>
  </si>
  <si>
    <t xml:space="preserve">     Total  Manpower</t>
  </si>
  <si>
    <t xml:space="preserve"> 29.08.12</t>
  </si>
  <si>
    <t xml:space="preserve"> 29.08.32</t>
  </si>
  <si>
    <t>Bangladesh Bank</t>
  </si>
  <si>
    <t xml:space="preserve">Monthly </t>
  </si>
  <si>
    <t>Economic Trends</t>
  </si>
  <si>
    <t>No interest</t>
  </si>
  <si>
    <t xml:space="preserve">No interest </t>
  </si>
  <si>
    <t xml:space="preserve"> No interest</t>
  </si>
  <si>
    <t>i) Before six months from the date of issue</t>
  </si>
  <si>
    <t>ii) On completion of six months but before one year</t>
  </si>
  <si>
    <t>iii) On completion of one year but before 1½ year</t>
  </si>
  <si>
    <t>iv) On completion of 1½ years but before two year</t>
  </si>
  <si>
    <t>v) On completion of two years and thereafter</t>
  </si>
  <si>
    <t xml:space="preserve">vi) On completion of five years and thereafter </t>
  </si>
  <si>
    <t>September(NB)</t>
  </si>
  <si>
    <t>a) Ordinary Account</t>
  </si>
  <si>
    <t>a) Dhaka and Chittagong Metropolitan Cities</t>
  </si>
  <si>
    <t>b) Other Divisional/District Head Quarters.</t>
  </si>
  <si>
    <t>c) Fixed Deposit Account (Interest after 6 months)</t>
  </si>
  <si>
    <t xml:space="preserve">i) Within one year from the date of issue </t>
  </si>
  <si>
    <t>ii) After completion of one year but within two years</t>
  </si>
  <si>
    <t>iii) After completion of two years but within three years</t>
  </si>
  <si>
    <t>iii) For three years</t>
  </si>
  <si>
    <t>ii) For two years</t>
  </si>
  <si>
    <t>i) For one year</t>
  </si>
  <si>
    <t>b) Fixed Deposit Account (Interest after maturity)</t>
  </si>
  <si>
    <t xml:space="preserve">  Furniture, Furnishing   &amp; Others</t>
  </si>
  <si>
    <t xml:space="preserve">  Misc. Goods &amp; Services</t>
  </si>
  <si>
    <t>15-year (BD) Govt.  Treasury Bond</t>
  </si>
  <si>
    <t>20-year  (BD) Govt. Treasury Bond</t>
  </si>
  <si>
    <t xml:space="preserve"> 26.09.12</t>
  </si>
  <si>
    <t xml:space="preserve"> 29.09.32</t>
  </si>
  <si>
    <t xml:space="preserve">With effect from 01.07.06  </t>
  </si>
  <si>
    <t>Interest Rates on Deposits with Directorate of National Savings</t>
  </si>
  <si>
    <t>i) Tin Mas Antar Munafa Vittik Sanchayapatra</t>
  </si>
  <si>
    <t>ii) 5-year  Bangladesh Sanchayapatra</t>
  </si>
  <si>
    <t>iii) 5-year  Pensioner Sanchaya Patra after 3-month interest</t>
  </si>
  <si>
    <t>iv) 5-year  Paribar Sanchayapatra after monthly interest</t>
  </si>
  <si>
    <t>iv) After completion of three years</t>
  </si>
  <si>
    <t>With effect from   22.02.97</t>
  </si>
  <si>
    <t>With effect from 01.07.97</t>
  </si>
  <si>
    <t>With effect from  24.11.97</t>
  </si>
  <si>
    <t>With effect from 29.08.99</t>
  </si>
  <si>
    <t>With effect from 24.10.01</t>
  </si>
  <si>
    <t>With effect from 30.10.01</t>
  </si>
  <si>
    <t xml:space="preserve">    With effect from 01.11.02</t>
  </si>
  <si>
    <t>With effect from 08.11.03</t>
  </si>
  <si>
    <t xml:space="preserve">With effect from 17.07.04   </t>
  </si>
  <si>
    <t xml:space="preserve">With effect from 04.12.05   </t>
  </si>
  <si>
    <t xml:space="preserve">With effect from 13.06.07  </t>
  </si>
  <si>
    <t xml:space="preserve">With effect from 01.07.10  </t>
  </si>
  <si>
    <t xml:space="preserve">  With effect from 01.07.11  </t>
  </si>
  <si>
    <t>With effect from 01.03.12</t>
  </si>
  <si>
    <t>Interest Rates on Construction Loans Provided by House Building Finance Corporation</t>
  </si>
  <si>
    <t xml:space="preserve"> BANK RATE AND INTEREST RATE STRUCTURE OF POST OFFICE SAVINGS BANK, HOUSE  </t>
  </si>
  <si>
    <t xml:space="preserve"> BUILDING FINANCE CORPORATION AND NATIONAL SAVINGS CERTIFICATES     </t>
  </si>
  <si>
    <t xml:space="preserve">INTEREST RATE STRUCTURE OF </t>
  </si>
  <si>
    <t xml:space="preserve">GOVERNMENT SECURITIES / BONDS </t>
  </si>
  <si>
    <t>INTEREST RATE STRUCTURE OF</t>
  </si>
  <si>
    <t xml:space="preserve"> GOVERNMENT SECURITIES/BONDS</t>
  </si>
  <si>
    <t xml:space="preserve">GOVERNMENT SECURITIES/BONDS </t>
  </si>
  <si>
    <t>GOVERNMENT SECURITIES/BONDS</t>
  </si>
  <si>
    <t>d)  Savings Bond (Islami Bond)</t>
  </si>
  <si>
    <t xml:space="preserve">      Total  Domestic         Credit </t>
  </si>
  <si>
    <t>BBS: Cotton Yarn, Cotton Cloth, Cigarettes, Oil Products, Food Products and Matches.</t>
  </si>
  <si>
    <t>13.00-16.00</t>
  </si>
  <si>
    <t>October(NB)</t>
  </si>
  <si>
    <t>XC</t>
  </si>
  <si>
    <t>XCI</t>
  </si>
  <si>
    <t>XCII</t>
  </si>
  <si>
    <t>XCIII</t>
  </si>
  <si>
    <t>XCIV</t>
  </si>
  <si>
    <t>XCV</t>
  </si>
  <si>
    <t>XCVI</t>
  </si>
  <si>
    <t>XCVII</t>
  </si>
  <si>
    <t>XCIX</t>
  </si>
  <si>
    <t>C</t>
  </si>
  <si>
    <t xml:space="preserve"> 25.10.12</t>
  </si>
  <si>
    <t xml:space="preserve"> 25.10.32</t>
  </si>
  <si>
    <t>November(NB)</t>
  </si>
  <si>
    <r>
      <t xml:space="preserve">       </t>
    </r>
    <r>
      <rPr>
        <b/>
        <sz val="5.5"/>
        <rFont val="Times New Roman"/>
        <family val="1"/>
      </rPr>
      <t>Note:</t>
    </r>
    <r>
      <rPr>
        <sz val="5.5"/>
        <rFont val="Times New Roman"/>
        <family val="1"/>
      </rPr>
      <t xml:space="preserve">  </t>
    </r>
  </si>
  <si>
    <r>
      <t>Note</t>
    </r>
    <r>
      <rPr>
        <sz val="5.5"/>
        <rFont val="Times New Roman"/>
        <family val="1"/>
      </rPr>
      <t xml:space="preserve">: </t>
    </r>
  </si>
  <si>
    <t xml:space="preserve"> 28.11.12</t>
  </si>
  <si>
    <t xml:space="preserve"> 28.11.32</t>
  </si>
  <si>
    <t>CI</t>
  </si>
  <si>
    <t>4.00-10.00</t>
  </si>
  <si>
    <t>13.00-14.00</t>
  </si>
  <si>
    <t>15.00-18.00</t>
  </si>
  <si>
    <t>14.00-15.00</t>
  </si>
  <si>
    <t>14.00-17.00</t>
  </si>
  <si>
    <t>10.00-18.00</t>
  </si>
  <si>
    <t>11.00-14.00</t>
  </si>
  <si>
    <t>12.00-15.00</t>
  </si>
  <si>
    <t>14.00-16.00</t>
  </si>
  <si>
    <t>Oct.- Dec.</t>
  </si>
  <si>
    <t>Apr.- Jun.</t>
  </si>
  <si>
    <t>Jan.- Mar.</t>
  </si>
  <si>
    <t>July - Sept.</t>
  </si>
  <si>
    <t>Note :       …= Indicates not available</t>
  </si>
  <si>
    <t>Income / Primary Income</t>
  </si>
  <si>
    <t>Current Transfers (Net)/ Secondary Income (Net)</t>
  </si>
  <si>
    <t xml:space="preserve">Net Errors and Ommissions                                    </t>
  </si>
  <si>
    <t>19=(15+16+17+18)</t>
  </si>
  <si>
    <t xml:space="preserve"> Financial    Account  (Net)</t>
  </si>
  <si>
    <t>Capital Account (Net)</t>
  </si>
  <si>
    <t>Direct  Investment</t>
  </si>
  <si>
    <t>2. As per BPM5, Net Errors &amp; Ommissions= -(Current Account Balance+Capital Account (Net)+Financial Account (Net))</t>
  </si>
  <si>
    <t>1. *As per BPM6, Net Errors &amp; Ommissions= -(Current Account Balance+Capital Account (Net)-Financial Account (Net))</t>
  </si>
  <si>
    <r>
      <t>2.  From July'12, BPM6</t>
    </r>
    <r>
      <rPr>
        <sz val="7"/>
        <rFont val="Times New Roman"/>
        <family val="1"/>
      </rPr>
      <t xml:space="preserve"> has been implemented.</t>
    </r>
  </si>
  <si>
    <t xml:space="preserve"> 26.12.12</t>
  </si>
  <si>
    <t xml:space="preserve"> 26.12.32</t>
  </si>
  <si>
    <t>CII</t>
  </si>
  <si>
    <t>Bank Rate and Interest Rate Structure of Post Office Savings Bank and House Building Finance Corporation and National Savings Certificates</t>
  </si>
  <si>
    <t>January (NB)</t>
  </si>
  <si>
    <t xml:space="preserve"> 23.01.13</t>
  </si>
  <si>
    <t>CIII</t>
  </si>
  <si>
    <r>
      <t xml:space="preserve">Source : </t>
    </r>
    <r>
      <rPr>
        <sz val="7"/>
        <rFont val="Times New Roman"/>
        <family val="1"/>
      </rPr>
      <t xml:space="preserve"> Statistics Department, Bangladesh Bank.</t>
    </r>
  </si>
  <si>
    <t>End            of        Period</t>
  </si>
  <si>
    <t>*Total       (4+5)</t>
  </si>
  <si>
    <t>Total          (7+8)</t>
  </si>
  <si>
    <t xml:space="preserve"> Private       Sector</t>
  </si>
  <si>
    <t xml:space="preserve"> Net          Other   Assets</t>
  </si>
  <si>
    <t>Net          Domestic      Assets     (11+12)</t>
  </si>
  <si>
    <t>End                   of             Period</t>
  </si>
  <si>
    <t>End                     of             Period</t>
  </si>
  <si>
    <t>Total Domestic Credit</t>
  </si>
  <si>
    <t>Local               Authorities</t>
  </si>
  <si>
    <t>End               of          Period</t>
  </si>
  <si>
    <t>End           of          Period</t>
  </si>
  <si>
    <t>Net  Other Assets</t>
  </si>
  <si>
    <t>End              of        Period</t>
  </si>
  <si>
    <r>
      <t xml:space="preserve">Total         Domestic        Credit       </t>
    </r>
    <r>
      <rPr>
        <sz val="8"/>
        <color indexed="8"/>
        <rFont val="Times New Roman"/>
        <family val="1"/>
      </rPr>
      <t>(8+11+14)</t>
    </r>
  </si>
  <si>
    <t>Net            Other      Assets</t>
  </si>
  <si>
    <t>Net            Domestic         Assets      (15+16)</t>
  </si>
  <si>
    <t xml:space="preserve">Export        (f.o.b) </t>
  </si>
  <si>
    <t>Import        (f.o.b)</t>
  </si>
  <si>
    <t xml:space="preserve">Trade       Balance </t>
  </si>
  <si>
    <t xml:space="preserve">Current            Account        Balance         </t>
  </si>
  <si>
    <t>Crude Petroleum</t>
  </si>
  <si>
    <t xml:space="preserve">Total     Imports        </t>
  </si>
  <si>
    <t>Total   (15 through 35)</t>
  </si>
  <si>
    <t xml:space="preserve">Balance   of Trade         </t>
  </si>
  <si>
    <t xml:space="preserve"> '000'          Metres </t>
  </si>
  <si>
    <t xml:space="preserve"> '000'          Bales</t>
  </si>
  <si>
    <t xml:space="preserve"> Metric      Tons</t>
  </si>
  <si>
    <t xml:space="preserve">  Lac            Sticks</t>
  </si>
  <si>
    <t xml:space="preserve">  Metric   Tons</t>
  </si>
  <si>
    <t xml:space="preserve"> '000'        Gross Box</t>
  </si>
  <si>
    <t xml:space="preserve"> Metric     Tons</t>
  </si>
  <si>
    <t xml:space="preserve"> Metric        Tons</t>
  </si>
  <si>
    <t>End of    Period</t>
  </si>
  <si>
    <t>End of        Period</t>
  </si>
  <si>
    <t xml:space="preserve">  End of          Period</t>
  </si>
  <si>
    <t xml:space="preserve"> Total Number             of Companies</t>
  </si>
  <si>
    <t>Total Number                of Companies</t>
  </si>
  <si>
    <t xml:space="preserve">  End of       Period</t>
  </si>
  <si>
    <t>Excise         Duty</t>
  </si>
  <si>
    <t>Land                 Revenue</t>
  </si>
  <si>
    <t>Other          Taxes</t>
  </si>
  <si>
    <t>Total              Tax</t>
  </si>
  <si>
    <t xml:space="preserve"> Forest       Revenue</t>
  </si>
  <si>
    <r>
      <t xml:space="preserve">  3) 5 years Wage Earners Development Bond</t>
    </r>
    <r>
      <rPr>
        <b/>
        <vertAlign val="superscript"/>
        <sz val="9"/>
        <color indexed="8"/>
        <rFont val="Times New Roman"/>
        <family val="1"/>
      </rPr>
      <t>(1)</t>
    </r>
  </si>
  <si>
    <r>
      <t xml:space="preserve">  4) 3 years USD Premium Bond</t>
    </r>
    <r>
      <rPr>
        <b/>
        <vertAlign val="superscript"/>
        <sz val="9"/>
        <color indexed="8"/>
        <rFont val="Arial Narrow"/>
        <family val="2"/>
      </rPr>
      <t xml:space="preserve"> </t>
    </r>
    <r>
      <rPr>
        <b/>
        <sz val="9"/>
        <color indexed="8"/>
        <rFont val="Arial Narrow"/>
        <family val="2"/>
      </rPr>
      <t>for non-resident Bangladeshi</t>
    </r>
    <r>
      <rPr>
        <b/>
        <vertAlign val="superscript"/>
        <sz val="9"/>
        <color indexed="8"/>
        <rFont val="Arial Narrow"/>
        <family val="2"/>
      </rPr>
      <t>(2)</t>
    </r>
  </si>
  <si>
    <r>
      <t xml:space="preserve">  5) 3 years USD Investment Bond for non-resident Bangladeshi</t>
    </r>
    <r>
      <rPr>
        <b/>
        <vertAlign val="superscript"/>
        <sz val="8.5"/>
        <color indexed="8"/>
        <rFont val="Arial Narrow"/>
        <family val="2"/>
      </rPr>
      <t>(3)</t>
    </r>
    <r>
      <rPr>
        <b/>
        <sz val="8.5"/>
        <color indexed="8"/>
        <rFont val="Arial Narrow"/>
        <family val="2"/>
      </rPr>
      <t xml:space="preserve"> </t>
    </r>
  </si>
  <si>
    <t>Foreign           Exchange       Reserves      (end period)</t>
  </si>
  <si>
    <t xml:space="preserve"> Raw Jute</t>
  </si>
  <si>
    <r>
      <rPr>
        <vertAlign val="superscript"/>
        <sz val="6.5"/>
        <color indexed="8"/>
        <rFont val="Times New Roman"/>
        <family val="1"/>
      </rPr>
      <t>(3)</t>
    </r>
    <r>
      <rPr>
        <sz val="6.5"/>
        <color indexed="8"/>
        <rFont val="Times New Roman"/>
        <family val="1"/>
      </rPr>
      <t xml:space="preserve"> Both interest and principal amount are payable in USD.</t>
    </r>
  </si>
  <si>
    <r>
      <rPr>
        <vertAlign val="superscript"/>
        <sz val="6.5"/>
        <color indexed="8"/>
        <rFont val="Times New Roman"/>
        <family val="1"/>
      </rPr>
      <t>(1)</t>
    </r>
    <r>
      <rPr>
        <sz val="6.5"/>
        <color indexed="8"/>
        <rFont val="Times New Roman"/>
        <family val="1"/>
      </rPr>
      <t xml:space="preserve"> Both interest and principal amount are payable in BDT.</t>
    </r>
  </si>
  <si>
    <r>
      <rPr>
        <vertAlign val="superscript"/>
        <sz val="6.5"/>
        <color indexed="8"/>
        <rFont val="Times New Roman"/>
        <family val="1"/>
      </rPr>
      <t>(2)</t>
    </r>
    <r>
      <rPr>
        <sz val="6.5"/>
        <color indexed="8"/>
        <rFont val="Times New Roman"/>
        <family val="1"/>
      </rPr>
      <t xml:space="preserve"> Interest is payable in BDT and principal amount will be paid either in  USD or BDT as per option of the bond holder. </t>
    </r>
  </si>
  <si>
    <t>Total (1+2)</t>
  </si>
  <si>
    <t>End                  of             Period</t>
  </si>
  <si>
    <t xml:space="preserve"> 27.02.13</t>
  </si>
  <si>
    <t>CIV</t>
  </si>
  <si>
    <t xml:space="preserve">  1) Post Office Savings Deposits</t>
  </si>
  <si>
    <t xml:space="preserve">  2) Interest Rates on National Savings Certificates</t>
  </si>
  <si>
    <t>18.05.16</t>
  </si>
  <si>
    <t>22.06.16</t>
  </si>
  <si>
    <t>03.08.16</t>
  </si>
  <si>
    <t>07.09.16</t>
  </si>
  <si>
    <t>05.10.16</t>
  </si>
  <si>
    <t>02.11.16</t>
  </si>
  <si>
    <t>07.03.12</t>
  </si>
  <si>
    <t>04.04.12</t>
  </si>
  <si>
    <t>04.04.17</t>
  </si>
  <si>
    <t>09.05.12</t>
  </si>
  <si>
    <t>04.07.12</t>
  </si>
  <si>
    <t>08.08.12</t>
  </si>
  <si>
    <t>05.09.12</t>
  </si>
  <si>
    <t>03.10.12</t>
  </si>
  <si>
    <t>07.11.12</t>
  </si>
  <si>
    <t>07.11.17</t>
  </si>
  <si>
    <t>05.12.12</t>
  </si>
  <si>
    <t>02.01.13</t>
  </si>
  <si>
    <t>06.02.13</t>
  </si>
  <si>
    <t>06.03.13</t>
  </si>
  <si>
    <t>06.03.18</t>
  </si>
  <si>
    <t>23.10.11</t>
  </si>
  <si>
    <t>23.10.20</t>
  </si>
  <si>
    <t>11.04.12</t>
  </si>
  <si>
    <t>16.05.12</t>
  </si>
  <si>
    <t>11.04.22</t>
  </si>
  <si>
    <t>16.05.22</t>
  </si>
  <si>
    <t>13.06.12</t>
  </si>
  <si>
    <t>13.06.22</t>
  </si>
  <si>
    <t>11.07.12</t>
  </si>
  <si>
    <t>22.08.12</t>
  </si>
  <si>
    <t>22.08.22</t>
  </si>
  <si>
    <t>12.09.12</t>
  </si>
  <si>
    <t>10.10.12</t>
  </si>
  <si>
    <t>10.10.22</t>
  </si>
  <si>
    <t>14.11.12</t>
  </si>
  <si>
    <t>12.12.12</t>
  </si>
  <si>
    <t>09.01.13</t>
  </si>
  <si>
    <t>13.02.13</t>
  </si>
  <si>
    <t>13.03.13</t>
  </si>
  <si>
    <t>13.03.23</t>
  </si>
  <si>
    <t>23.10.23</t>
  </si>
  <si>
    <t>23.10.24</t>
  </si>
  <si>
    <t>18.04.12</t>
  </si>
  <si>
    <t>18.04.27</t>
  </si>
  <si>
    <t>23.05.12</t>
  </si>
  <si>
    <t>23.05.27</t>
  </si>
  <si>
    <t>20.06.12</t>
  </si>
  <si>
    <t>20.06.27</t>
  </si>
  <si>
    <t>18.07.12</t>
  </si>
  <si>
    <t>18.07.27</t>
  </si>
  <si>
    <t>19.09.12</t>
  </si>
  <si>
    <t>19.09.27</t>
  </si>
  <si>
    <t>17.10.12</t>
  </si>
  <si>
    <t>17.10.27</t>
  </si>
  <si>
    <t>21.11.12</t>
  </si>
  <si>
    <t>21.11.27</t>
  </si>
  <si>
    <t>19.12.12</t>
  </si>
  <si>
    <t>19.12.27</t>
  </si>
  <si>
    <t>16.01.13</t>
  </si>
  <si>
    <t>16.01.28</t>
  </si>
  <si>
    <t>20.02.13</t>
  </si>
  <si>
    <t>20.02.28</t>
  </si>
  <si>
    <t xml:space="preserve"> 24.08.31</t>
  </si>
  <si>
    <t>23.11.11</t>
  </si>
  <si>
    <t>23.11.31</t>
  </si>
  <si>
    <r>
      <t>SURVEY ( M2</t>
    </r>
    <r>
      <rPr>
        <b/>
        <vertAlign val="subscript"/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)</t>
    </r>
  </si>
  <si>
    <t xml:space="preserve"> Broad          Money        (M2)      (3+13)</t>
  </si>
  <si>
    <r>
      <t>SURVEY ( M3</t>
    </r>
    <r>
      <rPr>
        <b/>
        <vertAlign val="subscript"/>
        <sz val="12"/>
        <color indexed="8"/>
        <rFont val="Times New Roman"/>
        <family val="1"/>
      </rPr>
      <t xml:space="preserve"> </t>
    </r>
    <r>
      <rPr>
        <b/>
        <sz val="12"/>
        <color indexed="8"/>
        <rFont val="Times New Roman"/>
        <family val="1"/>
      </rPr>
      <t>)</t>
    </r>
  </si>
  <si>
    <t>Broad         Money         (M3)     (4+17)</t>
  </si>
  <si>
    <t>Currency    Outside       Banks        (3-4)</t>
  </si>
  <si>
    <t>End            of       Period</t>
  </si>
  <si>
    <t>From      Banks</t>
  </si>
  <si>
    <t>Time     Deposits</t>
  </si>
  <si>
    <t>Total   (8+9)</t>
  </si>
  <si>
    <t>Narrow         Money         (M1) (5+8+12)</t>
  </si>
  <si>
    <t>Broad          Money       (M2)      (9+13)</t>
  </si>
  <si>
    <t>Post     Office Deposits</t>
  </si>
  <si>
    <t>Inter          Bank    Bills</t>
  </si>
  <si>
    <t xml:space="preserve"> Private    Bills</t>
  </si>
  <si>
    <t>Inter         Bank          Invest-   ment</t>
  </si>
  <si>
    <t>To       Public</t>
  </si>
  <si>
    <t>To         Private</t>
  </si>
  <si>
    <t>To          Public      (18+22+26) </t>
  </si>
  <si>
    <t>To             Private     (19+23+27)</t>
  </si>
  <si>
    <t>From      Govern-   ment</t>
  </si>
  <si>
    <t xml:space="preserve">  From        BB</t>
  </si>
  <si>
    <t>From      Other Financial Institutions</t>
  </si>
  <si>
    <t xml:space="preserve">                           DMBs  Credit                            (Advances + Bills + Investment) </t>
  </si>
  <si>
    <t xml:space="preserve">  From        Inter-    Banks</t>
  </si>
  <si>
    <t>14.09.11</t>
  </si>
  <si>
    <t>14.09.21</t>
  </si>
  <si>
    <t>12.10.11</t>
  </si>
  <si>
    <t>12.10.21</t>
  </si>
  <si>
    <t>10.11.11</t>
  </si>
  <si>
    <t>10.11.21</t>
  </si>
  <si>
    <t>14.12.11</t>
  </si>
  <si>
    <t>14.12.21</t>
  </si>
  <si>
    <t>11.01.12</t>
  </si>
  <si>
    <t>11.01.22</t>
  </si>
  <si>
    <t>15.02.12</t>
  </si>
  <si>
    <t>15.02.22</t>
  </si>
  <si>
    <t>14.03.12</t>
  </si>
  <si>
    <t>14.03.22</t>
  </si>
  <si>
    <t>11.05.11</t>
  </si>
  <si>
    <t>11.05.26</t>
  </si>
  <si>
    <t>15.06.11</t>
  </si>
  <si>
    <t>15.06.26</t>
  </si>
  <si>
    <t>17.08.11</t>
  </si>
  <si>
    <t>17.08.26</t>
  </si>
  <si>
    <t>21.09.11</t>
  </si>
  <si>
    <t>21.09.26</t>
  </si>
  <si>
    <t>19.10.11</t>
  </si>
  <si>
    <t>19.10.26</t>
  </si>
  <si>
    <t>16.11.11</t>
  </si>
  <si>
    <t>16.11.26</t>
  </si>
  <si>
    <t>21.12.11</t>
  </si>
  <si>
    <t>21.12.26</t>
  </si>
  <si>
    <t>18.01.12</t>
  </si>
  <si>
    <t>18.01.27</t>
  </si>
  <si>
    <t>22.02.12</t>
  </si>
  <si>
    <t>22.02.27</t>
  </si>
  <si>
    <t>21.03.12</t>
  </si>
  <si>
    <t>21.03.27</t>
  </si>
  <si>
    <t>Six decimal places is used for conversion of US$ to Tk.</t>
  </si>
  <si>
    <t xml:space="preserve">Note  : </t>
  </si>
  <si>
    <t xml:space="preserve">      Turn Over            (Tk. in crore)                                        </t>
  </si>
  <si>
    <t xml:space="preserve">    Total Issued          Capital  (Tk. in crore)</t>
  </si>
  <si>
    <t>03.04.13</t>
  </si>
  <si>
    <t>03.04.18</t>
  </si>
  <si>
    <t>CV</t>
  </si>
  <si>
    <t>10.04.13</t>
  </si>
  <si>
    <t>10.04.23</t>
  </si>
  <si>
    <t>20.03.13</t>
  </si>
  <si>
    <t>20.03.28</t>
  </si>
  <si>
    <t xml:space="preserve"> 27.03.13</t>
  </si>
  <si>
    <t>13.24*</t>
  </si>
  <si>
    <t>08.05.13</t>
  </si>
  <si>
    <t>08.05.18</t>
  </si>
  <si>
    <t>CVI</t>
  </si>
  <si>
    <t>15.05.13</t>
  </si>
  <si>
    <t>15.05.23</t>
  </si>
  <si>
    <t>17.04.13</t>
  </si>
  <si>
    <t>17.04.28</t>
  </si>
  <si>
    <t xml:space="preserve"> 24.04.13</t>
  </si>
  <si>
    <t>15.24</t>
  </si>
  <si>
    <t>6.23</t>
  </si>
  <si>
    <t>05.06.13</t>
  </si>
  <si>
    <t>05.06.18</t>
  </si>
  <si>
    <t>12.06.13</t>
  </si>
  <si>
    <t>12.06.23</t>
  </si>
  <si>
    <t>CVII</t>
  </si>
  <si>
    <t>22.05.13</t>
  </si>
  <si>
    <t>22.05.28</t>
  </si>
  <si>
    <t xml:space="preserve"> 29.05.13</t>
  </si>
  <si>
    <t xml:space="preserve"> 23.01.33</t>
  </si>
  <si>
    <t xml:space="preserve"> 27.02.33</t>
  </si>
  <si>
    <t xml:space="preserve"> 27.03.33</t>
  </si>
  <si>
    <t xml:space="preserve"> 24.04.33</t>
  </si>
  <si>
    <t xml:space="preserve"> 29.05.33</t>
  </si>
  <si>
    <t>448839</t>
  </si>
  <si>
    <t>225</t>
  </si>
  <si>
    <t>239</t>
  </si>
  <si>
    <t>26982</t>
  </si>
  <si>
    <t>29607</t>
  </si>
  <si>
    <t>4.00-5.00</t>
  </si>
  <si>
    <t>09.07.13</t>
  </si>
  <si>
    <t>09.07.18</t>
  </si>
  <si>
    <t>19.06.13</t>
  </si>
  <si>
    <t>19.06.28</t>
  </si>
  <si>
    <t xml:space="preserve"> 26.06.13</t>
  </si>
  <si>
    <t xml:space="preserve"> 26.06.33</t>
  </si>
  <si>
    <t xml:space="preserve">2-year (BD)Govt. Treasury Bond </t>
  </si>
  <si>
    <t>2012-13(OB)</t>
  </si>
  <si>
    <t>2012-13(NB)</t>
  </si>
  <si>
    <t>10 years (Agrani Bank) SPTB</t>
  </si>
  <si>
    <t>29.06.13</t>
  </si>
  <si>
    <t>29.06.23</t>
  </si>
  <si>
    <t>10 years (Janata Bank) SPTB</t>
  </si>
  <si>
    <t>10 years (Sonali Bank) SPTB</t>
  </si>
  <si>
    <t>7 years (BPC)(Agrani Bank) SPTB</t>
  </si>
  <si>
    <t>29.06.20</t>
  </si>
  <si>
    <t>29.06.21</t>
  </si>
  <si>
    <t>8 years (Agrani Bank) SPTB</t>
  </si>
  <si>
    <t>09.07.08</t>
  </si>
  <si>
    <t>09.07.23</t>
  </si>
  <si>
    <t>7 years (BPC)(Janata Bank) SPTB</t>
  </si>
  <si>
    <t>7 years (BPC)(Sonali Bank) SPTB</t>
  </si>
  <si>
    <t>8 years (Janata Bank) SPTB</t>
  </si>
  <si>
    <t>8 years (Sonali Bank) SPTB</t>
  </si>
  <si>
    <t>Total    Liqui-      dity     (M2) </t>
  </si>
  <si>
    <t>No. of Instruments</t>
  </si>
  <si>
    <t>Total No. of Branches of State Owned Commerc-ial Banks </t>
  </si>
  <si>
    <t>Ratio of Cash in hand and balances with the BB to Deposits (in percent)</t>
  </si>
  <si>
    <t>Note  :</t>
  </si>
  <si>
    <t>1. Weighted average rates of interest on scheduled banks deposits &amp; advances have been introduced monthly basis instead of  quarterly</t>
  </si>
  <si>
    <t>2013-14</t>
  </si>
  <si>
    <t>July(OB)</t>
  </si>
  <si>
    <t>July(NB)</t>
  </si>
  <si>
    <t>2013 - 14</t>
  </si>
  <si>
    <t>CVIII</t>
  </si>
  <si>
    <t xml:space="preserve">  24.07.13</t>
  </si>
  <si>
    <t xml:space="preserve"> 24.07.13</t>
  </si>
  <si>
    <t xml:space="preserve"> 24.07.33</t>
  </si>
  <si>
    <t xml:space="preserve">   Urea        (US $/ MT)</t>
  </si>
  <si>
    <t xml:space="preserve">    Sugar                                              (US cents/pound)</t>
  </si>
  <si>
    <t>Rice             (US $/MT)</t>
  </si>
  <si>
    <t xml:space="preserve">  Petroleum              (US$/ Barrel)</t>
  </si>
  <si>
    <t>August(NB)</t>
  </si>
  <si>
    <t>General Index/ DSE Broad Index*</t>
  </si>
  <si>
    <t xml:space="preserve"> DSE Broad                   Index</t>
  </si>
  <si>
    <t xml:space="preserve">                   * DSE Broad Index has been introduced instead of General Index from August 2013.</t>
  </si>
  <si>
    <t>14.08.13</t>
  </si>
  <si>
    <t>11.09.13</t>
  </si>
  <si>
    <t>11.09.18</t>
  </si>
  <si>
    <t>17.07.13</t>
  </si>
  <si>
    <t>17.07.23</t>
  </si>
  <si>
    <t>21.08.13</t>
  </si>
  <si>
    <t>21.08.23</t>
  </si>
  <si>
    <t xml:space="preserve">  29.08.13</t>
  </si>
  <si>
    <t xml:space="preserve">  24.07.28</t>
  </si>
  <si>
    <t xml:space="preserve"> 29.08.28</t>
  </si>
  <si>
    <t xml:space="preserve"> 29.08.13</t>
  </si>
  <si>
    <t xml:space="preserve"> 29.08.33</t>
  </si>
  <si>
    <t>Gold (Guinea)        (Tk. per 10 gms.) </t>
  </si>
  <si>
    <t>Cow Hides Raw                     (Tk. per piece)</t>
  </si>
  <si>
    <t>Bangla white A           (Pucca  bales)              (Tk. per 180 kg.)</t>
  </si>
  <si>
    <t>White Middle           (Kutcha bales)                (Tk. per 100 kg.) </t>
  </si>
  <si>
    <t>Aman Rice               (Medium)                     (Tk. per kg.)</t>
  </si>
  <si>
    <t>Export of Tea                 (Average Quality)                      (Tk. per kg.)</t>
  </si>
  <si>
    <t>Goat Skins                           (Tk. per piece)</t>
  </si>
  <si>
    <t xml:space="preserve"> Total                        (1+2)</t>
  </si>
  <si>
    <t>Midland Bank</t>
  </si>
  <si>
    <t>NRB Bank</t>
  </si>
  <si>
    <t>NRB Commercial Bank</t>
  </si>
  <si>
    <t xml:space="preserve"> Trust Bank</t>
  </si>
  <si>
    <t xml:space="preserve">                      BANK WISE ANNOUNCED INTEREST RATE STRUCTURE </t>
  </si>
  <si>
    <t>Meghna Bank</t>
  </si>
  <si>
    <t xml:space="preserve"> Rice                 (US $/MT) </t>
  </si>
  <si>
    <t xml:space="preserve">  Super        phosphate       (US $/ MT)</t>
  </si>
  <si>
    <t>Period      Average</t>
  </si>
  <si>
    <t>End          Period</t>
  </si>
  <si>
    <t xml:space="preserve"> End                  Period</t>
  </si>
  <si>
    <t>End Period</t>
  </si>
  <si>
    <t>Period Average</t>
  </si>
  <si>
    <t>1. Export figures  include that of EPZ and its source is Export Promotion Bureau (EPB).</t>
  </si>
  <si>
    <t>2. Weighted average exchange rate represents the inter-bank exchange rate.</t>
  </si>
  <si>
    <t>1. Export Promotion Bureau (EPB) for export data,    2. Statistics Department, Bangladesh Bank for import data.</t>
  </si>
  <si>
    <t>3. Accounts &amp; Budgeting Department, Bangladesh Bank for foreign exchange reserves.</t>
  </si>
  <si>
    <t>09.10.13</t>
  </si>
  <si>
    <t>09.10.18</t>
  </si>
  <si>
    <t xml:space="preserve">  25.09.13</t>
  </si>
  <si>
    <t xml:space="preserve">  25.09.28</t>
  </si>
  <si>
    <t xml:space="preserve">  23.10.13</t>
  </si>
  <si>
    <t xml:space="preserve"> 23.10.28</t>
  </si>
  <si>
    <t xml:space="preserve"> 25.09.13</t>
  </si>
  <si>
    <t xml:space="preserve"> 25.09.33</t>
  </si>
  <si>
    <t xml:space="preserve"> 23.10.13</t>
  </si>
  <si>
    <t xml:space="preserve"> 23.10.33</t>
  </si>
  <si>
    <t>Rate of inflation (Base: 1995-96) data discontinued from August 2013 due to dropping of BBS data.</t>
  </si>
  <si>
    <t>SBACBL</t>
  </si>
  <si>
    <t>FBL</t>
  </si>
  <si>
    <t>MONTHLY AVERAGE CALL MONEY MARKET RATES (Weighted Average)</t>
  </si>
  <si>
    <t xml:space="preserve">         SOME INDICATORS OF INCOME, EXPENDITURE &amp; </t>
  </si>
  <si>
    <t xml:space="preserve">   PROFITABILITY  OF THE BANKING SECTOR</t>
  </si>
  <si>
    <t>13.11.13</t>
  </si>
  <si>
    <t>13.11.18</t>
  </si>
  <si>
    <t>20.11.13</t>
  </si>
  <si>
    <t>20.11.23</t>
  </si>
  <si>
    <t xml:space="preserve">  27.11.13</t>
  </si>
  <si>
    <t xml:space="preserve"> 27.11.28</t>
  </si>
  <si>
    <t xml:space="preserve"> 27.11.13</t>
  </si>
  <si>
    <t xml:space="preserve"> 27.11.33</t>
  </si>
  <si>
    <t>1 troy Ounce = 31.103477 Gms.=2.666 Tola</t>
  </si>
  <si>
    <t>11.12.13</t>
  </si>
  <si>
    <t>11.12.18</t>
  </si>
  <si>
    <t xml:space="preserve">            (Money and</t>
  </si>
  <si>
    <t>December(NB)</t>
  </si>
  <si>
    <t>2012-13*</t>
  </si>
  <si>
    <t>15.12.13</t>
  </si>
  <si>
    <t>15.12.18</t>
  </si>
  <si>
    <t>15.01.14</t>
  </si>
  <si>
    <t>15.01.19</t>
  </si>
  <si>
    <t>26.12.13</t>
  </si>
  <si>
    <t>26.12.28</t>
  </si>
  <si>
    <t>26.12.33</t>
  </si>
  <si>
    <t xml:space="preserve">Figures relating to Islamic Investment Bond is re-classified as claims on other public sector instead of other assets </t>
  </si>
  <si>
    <t>12.02.14</t>
  </si>
  <si>
    <t>12.02.19</t>
  </si>
  <si>
    <t>29.01.14</t>
  </si>
  <si>
    <t>29.01.34</t>
  </si>
  <si>
    <t>29.01.29</t>
  </si>
  <si>
    <t>February(NB)</t>
  </si>
  <si>
    <t>26.02.14</t>
  </si>
  <si>
    <t>26.02.34</t>
  </si>
  <si>
    <t>26.02.29</t>
  </si>
  <si>
    <t>19.03.14</t>
  </si>
  <si>
    <t>19.03.24</t>
  </si>
  <si>
    <t>12.03.14</t>
  </si>
  <si>
    <t>12.03.19</t>
  </si>
  <si>
    <t>8.00-11.00</t>
  </si>
  <si>
    <t>March(NB)</t>
  </si>
  <si>
    <t>Short Term FC Deposit Liabilities</t>
  </si>
  <si>
    <t>09.04.14</t>
  </si>
  <si>
    <t>09.04.19</t>
  </si>
  <si>
    <t>27.03.14</t>
  </si>
  <si>
    <t>27.03.29</t>
  </si>
  <si>
    <t>23.04.14</t>
  </si>
  <si>
    <t>23.04.29</t>
  </si>
  <si>
    <t>27.03.34</t>
  </si>
  <si>
    <t>23.04.34</t>
  </si>
  <si>
    <t>6.00-7.00</t>
  </si>
  <si>
    <t>9.00-12.00</t>
  </si>
  <si>
    <t>April(NB)</t>
  </si>
  <si>
    <t>14.05.14</t>
  </si>
  <si>
    <t>14.05.19</t>
  </si>
  <si>
    <t>May(NB)</t>
  </si>
  <si>
    <t>06.10.20</t>
  </si>
  <si>
    <t>LXXXI</t>
  </si>
  <si>
    <t>28.05.14</t>
  </si>
  <si>
    <t>28.05.34</t>
  </si>
  <si>
    <t>25.06.34</t>
  </si>
  <si>
    <t>25.06.14</t>
  </si>
  <si>
    <t>28.05.29</t>
  </si>
  <si>
    <t>25.06.29</t>
  </si>
  <si>
    <t>11.06.14</t>
  </si>
  <si>
    <t>11.06.19</t>
  </si>
  <si>
    <t>June(NB)</t>
  </si>
  <si>
    <t>2010-11*</t>
  </si>
  <si>
    <t>2011-12*</t>
  </si>
  <si>
    <t>646342</t>
  </si>
  <si>
    <t>14.83</t>
  </si>
  <si>
    <t>6.46</t>
  </si>
  <si>
    <t>688493</t>
  </si>
  <si>
    <t>15.22</t>
  </si>
  <si>
    <t>6.52</t>
  </si>
  <si>
    <t>729897</t>
  </si>
  <si>
    <t>6.01</t>
  </si>
  <si>
    <t>13.62</t>
  </si>
  <si>
    <t>15.37</t>
  </si>
  <si>
    <t>15.58</t>
  </si>
  <si>
    <t>09.07.14</t>
  </si>
  <si>
    <t>09.07.19</t>
  </si>
  <si>
    <t>16.07.14</t>
  </si>
  <si>
    <t>16.07.24</t>
  </si>
  <si>
    <t>9.00-11.00</t>
  </si>
  <si>
    <t>2014-15</t>
  </si>
  <si>
    <t>13.08.14</t>
  </si>
  <si>
    <t>13.08.19</t>
  </si>
  <si>
    <t>23.07.14</t>
  </si>
  <si>
    <t>23.07.29</t>
  </si>
  <si>
    <t>27.08.14</t>
  </si>
  <si>
    <t>27.08.29</t>
  </si>
  <si>
    <t>23.07.34</t>
  </si>
  <si>
    <t>27.08.34</t>
  </si>
  <si>
    <t>iii) Treasury bills of DMBs are shown at cost price instead of face value from June 2002 and onwards.                                                                                                                                             </t>
  </si>
  <si>
    <t>10.09.14</t>
  </si>
  <si>
    <t>10.09.19</t>
  </si>
  <si>
    <t>24.09.14</t>
  </si>
  <si>
    <t>24.09.29</t>
  </si>
  <si>
    <t>24.09.34</t>
  </si>
  <si>
    <t>4.00-6.00</t>
  </si>
  <si>
    <t>788602</t>
  </si>
  <si>
    <t>746761</t>
  </si>
  <si>
    <t>697469</t>
  </si>
  <si>
    <t>51311</t>
  </si>
  <si>
    <t>49265</t>
  </si>
  <si>
    <t>46610</t>
  </si>
  <si>
    <t>From July'14 Myanmar Kyat has been changed due to floating exchange rate.</t>
  </si>
  <si>
    <t>* including 0.84 %  social security premium (SSP) and will be payable on completion of 3 years.</t>
  </si>
  <si>
    <t>*** including 0.99 %  social security premium (SSP) and will be payable on completion of 5 years.</t>
  </si>
  <si>
    <t>** including 0.79 %  social security premium (SSP) and will be payable on completion of 3 years.</t>
  </si>
  <si>
    <t>12.59**</t>
  </si>
  <si>
    <t>13.19***</t>
  </si>
  <si>
    <t>13.45****</t>
  </si>
  <si>
    <t>**** including 1.25 %  social security premium (SSP) and will be payable on completion of 5 years.</t>
  </si>
  <si>
    <t>11.80*****</t>
  </si>
  <si>
    <t>12.00*****</t>
  </si>
  <si>
    <t>***** including 0.80 %  social security premium (SSP) and will be payable on completion of 5 years.</t>
  </si>
  <si>
    <t>15.10.14</t>
  </si>
  <si>
    <t>15.10.19</t>
  </si>
  <si>
    <t>9.00-10.00</t>
  </si>
  <si>
    <t xml:space="preserve">                                                                  BANK WISE ANNOUNCED INTEREST RATE STRUCTURE </t>
  </si>
  <si>
    <t>MMBL</t>
  </si>
  <si>
    <t>NRBGBL</t>
  </si>
  <si>
    <t xml:space="preserve">Joint Director            </t>
  </si>
  <si>
    <t xml:space="preserve">Note: * From period 2011-12 the income, expenditure and profitability of specialized banks (BKB &amp; RUKUB) are calculated on fiscal year basis. </t>
  </si>
  <si>
    <t>Source: Statistics Department, Bangladesh Bank.</t>
  </si>
  <si>
    <t>2012**</t>
  </si>
  <si>
    <t>12.11.14</t>
  </si>
  <si>
    <t>12.11.19</t>
  </si>
  <si>
    <t>19.11.14</t>
  </si>
  <si>
    <t>19.11.24</t>
  </si>
  <si>
    <t>29.10.14</t>
  </si>
  <si>
    <t>29.10.29</t>
  </si>
  <si>
    <t>26.11.14</t>
  </si>
  <si>
    <t>26.11.29</t>
  </si>
  <si>
    <t>26.11.34</t>
  </si>
  <si>
    <t>29.10.34</t>
  </si>
  <si>
    <t>29.12.30</t>
  </si>
  <si>
    <t>Iron Ore (US $ /MT)</t>
  </si>
  <si>
    <t>China (CFR Tianjin Port)</t>
  </si>
  <si>
    <t>10.12.14</t>
  </si>
  <si>
    <t>10.12.19</t>
  </si>
  <si>
    <t>Union Bank Ltd.</t>
  </si>
  <si>
    <t>i)  DMBs advances to public &amp; private include balances with OFIs, NFIs, NBDCs and money at call &amp; short notice.</t>
  </si>
  <si>
    <t>IIG</t>
  </si>
  <si>
    <t>E-Banking &amp; E-Commerce Statistics</t>
  </si>
  <si>
    <t>IXA</t>
  </si>
  <si>
    <t>IXB</t>
  </si>
  <si>
    <t>IXC</t>
  </si>
  <si>
    <t>XIIA</t>
  </si>
  <si>
    <t>XIIB</t>
  </si>
  <si>
    <t>TABLE-VI</t>
  </si>
  <si>
    <t xml:space="preserve">TABLE- VII </t>
  </si>
  <si>
    <t>TABLE-VIII</t>
  </si>
  <si>
    <t>TABLE-IXA</t>
  </si>
  <si>
    <t>TABLE-IXB</t>
  </si>
  <si>
    <t>TABLE-IXC</t>
  </si>
  <si>
    <t>TABLE-XI</t>
  </si>
  <si>
    <t>TABLE-XIIA (Contd.)</t>
  </si>
  <si>
    <t>TABLE-XIIA (Concld.)</t>
  </si>
  <si>
    <t>TABLE-XIIB</t>
  </si>
  <si>
    <t>TABLE-XIII (Contd.)</t>
  </si>
  <si>
    <t>TABLE-XIII (Concld.)</t>
  </si>
  <si>
    <t>TABLE-XIV</t>
  </si>
  <si>
    <t xml:space="preserve">TABLE-XVII (Contd.) </t>
  </si>
  <si>
    <t xml:space="preserve">TABLE-XVII (Concld.) </t>
  </si>
  <si>
    <t>TABLE-XIX</t>
  </si>
  <si>
    <t>TABLE-XX (Contd.)</t>
  </si>
  <si>
    <t>TABLE-XX (Concld.)</t>
  </si>
  <si>
    <t>TABLE-XXI (Contd.)</t>
  </si>
  <si>
    <t>TABLE-XXI (Concld.)</t>
  </si>
  <si>
    <t>TABLE-XXII</t>
  </si>
  <si>
    <t>Table-XXIII</t>
  </si>
  <si>
    <t xml:space="preserve">                E-BANKING &amp;  E-COMMERCE STATISTICS                   </t>
  </si>
  <si>
    <t xml:space="preserve">Period /Cluster of Banks </t>
  </si>
  <si>
    <t>Cheque Clearing</t>
  </si>
  <si>
    <t>Electronic Fund Transfers (Outward)</t>
  </si>
  <si>
    <t>Cards Transactions</t>
  </si>
  <si>
    <t>Mobile Banking</t>
  </si>
  <si>
    <t>Agent Banking</t>
  </si>
  <si>
    <t>Credit Cards</t>
  </si>
  <si>
    <t>Debit Cards</t>
  </si>
  <si>
    <t>Prepaid Cards Transactions</t>
  </si>
  <si>
    <t xml:space="preserve">Internationally Issued Cards Transactions                   </t>
  </si>
  <si>
    <t>Internationally Issued Cards Transactions</t>
  </si>
  <si>
    <t>MICR Clearing</t>
  </si>
  <si>
    <t>Non-MICR Clearing</t>
  </si>
  <si>
    <t>Usage at POS</t>
  </si>
  <si>
    <t>E-commerce</t>
  </si>
  <si>
    <t>Outstanding Credit (as on)</t>
  </si>
  <si>
    <t>Usage at ATMs</t>
  </si>
  <si>
    <t xml:space="preserve">    E-Commerce          </t>
  </si>
  <si>
    <t>Prepaid Cards</t>
  </si>
  <si>
    <t>No. of Internet Banking Customers (as on)</t>
  </si>
  <si>
    <t>Internet Banking Transactions</t>
  </si>
  <si>
    <t>No. of Mobile Banking Agents (as on)</t>
  </si>
  <si>
    <t>Mobile Banking Transactions</t>
  </si>
  <si>
    <t>No. of Mobile Banking Subscribers (as on)</t>
  </si>
  <si>
    <t>No. of Agents (as on)</t>
  </si>
  <si>
    <t>Agent Banking Transactions</t>
  </si>
  <si>
    <t>No. of Agent Banking Subscribers (as on)</t>
  </si>
  <si>
    <t>Local Transac-tions  (Issuing)</t>
  </si>
  <si>
    <t>Abroad Transac-tions (Issuing)</t>
  </si>
  <si>
    <t>Local Transac-tions (Issuing)</t>
  </si>
  <si>
    <t>Local Transactions (Issuing)</t>
  </si>
  <si>
    <t>Abroad Transactions (Issuing)</t>
  </si>
  <si>
    <t>ATM Transactions (Acquiring)</t>
  </si>
  <si>
    <t>POS Transactions (Acquiring)</t>
  </si>
  <si>
    <t>E-Commerce Transactions (Acquiring)</t>
  </si>
  <si>
    <t xml:space="preserve">No. of Transac-tions </t>
  </si>
  <si>
    <t xml:space="preserve">Amount (Tk. in Crore) </t>
  </si>
  <si>
    <t>No. of Transac-tions</t>
  </si>
  <si>
    <t>Amount (Tk. in Crore)</t>
  </si>
  <si>
    <t>No. of Transactions</t>
  </si>
  <si>
    <t>Number</t>
  </si>
  <si>
    <t>3=1+2</t>
  </si>
  <si>
    <t>11=5+6+7+8+9+10</t>
  </si>
  <si>
    <t>19=13+14+15+16+17+18</t>
  </si>
  <si>
    <t>25=22+23+24</t>
  </si>
  <si>
    <t>26=11+19+20+21+25</t>
  </si>
  <si>
    <t xml:space="preserve">             Usage at     ATMs</t>
  </si>
  <si>
    <t xml:space="preserve">              E-BANKING &amp;  E-COMMERCE STATISTICS                   </t>
  </si>
  <si>
    <t xml:space="preserve">Note: </t>
  </si>
  <si>
    <t>SCBs</t>
  </si>
  <si>
    <t>SBs</t>
  </si>
  <si>
    <t>PCBs</t>
  </si>
  <si>
    <t>Table IIG (Contd.)</t>
  </si>
  <si>
    <t>Cards   Transactions</t>
  </si>
  <si>
    <t>Internet   Banking</t>
  </si>
  <si>
    <t>No. of POS (in actual) (as on)</t>
  </si>
  <si>
    <t xml:space="preserve">                 E-BANKING &amp; ECOMMERCE STATISTICS                   </t>
  </si>
  <si>
    <t>Table IIG (Concld.)</t>
  </si>
  <si>
    <t>No. of ATMs (in actual) (as on)</t>
  </si>
  <si>
    <t xml:space="preserve">                  Cards    Transactions                                                                                                                                                             </t>
  </si>
  <si>
    <t>14.01.15</t>
  </si>
  <si>
    <t>14.01.20</t>
  </si>
  <si>
    <t>No. of Transa-ctions</t>
  </si>
  <si>
    <t>No. of Transacti-ons</t>
  </si>
  <si>
    <t>11.02.15</t>
  </si>
  <si>
    <t>11.02.20</t>
  </si>
  <si>
    <t>1. Upto June'12 data was complied on the basis of IMFs' BPM5.</t>
  </si>
  <si>
    <t>Exports (fob)</t>
  </si>
  <si>
    <t>Tk/US Dollar</t>
  </si>
  <si>
    <t xml:space="preserve">Million US $ </t>
  </si>
  <si>
    <t>UK Pound Sterling</t>
  </si>
  <si>
    <t>11.03.15</t>
  </si>
  <si>
    <t>11.03.20</t>
  </si>
  <si>
    <t>04.03.15</t>
  </si>
  <si>
    <t>04.03.17</t>
  </si>
  <si>
    <t>FCBs</t>
  </si>
  <si>
    <t>15.04.15</t>
  </si>
  <si>
    <t>15.04.20</t>
  </si>
  <si>
    <t>08.04.15</t>
  </si>
  <si>
    <t>08.04.17</t>
  </si>
  <si>
    <t>22.04.15</t>
  </si>
  <si>
    <t>22.04.25</t>
  </si>
  <si>
    <t>July-Sept.</t>
  </si>
  <si>
    <t>08.09.10</t>
  </si>
  <si>
    <t xml:space="preserve">With effect from 01.07.12  </t>
  </si>
  <si>
    <t>With effect from 23.05.15  &amp; onwards</t>
  </si>
  <si>
    <t>11.28*</t>
  </si>
  <si>
    <t>11.04**</t>
  </si>
  <si>
    <t>11.28***</t>
  </si>
  <si>
    <t>11.76***</t>
  </si>
  <si>
    <t>11.52****</t>
  </si>
  <si>
    <r>
      <t>2013-14</t>
    </r>
    <r>
      <rPr>
        <sz val="8"/>
        <rFont val="Times New Roman"/>
        <family val="1"/>
      </rPr>
      <t>*</t>
    </r>
  </si>
  <si>
    <t>774136</t>
  </si>
  <si>
    <t>12.07</t>
  </si>
  <si>
    <t>6.06</t>
  </si>
  <si>
    <t>15.79</t>
  </si>
  <si>
    <t>XXVl</t>
  </si>
  <si>
    <t>2009-10*</t>
  </si>
  <si>
    <t>2005-06*</t>
  </si>
  <si>
    <t>2006-07*</t>
  </si>
  <si>
    <t>2007-08*</t>
  </si>
  <si>
    <t>2008-09*</t>
  </si>
  <si>
    <t>482337</t>
  </si>
  <si>
    <t>516383</t>
  </si>
  <si>
    <t>547437</t>
  </si>
  <si>
    <t>575056</t>
  </si>
  <si>
    <t>607097</t>
  </si>
  <si>
    <t>509545</t>
  </si>
  <si>
    <t>549505</t>
  </si>
  <si>
    <t>589547</t>
  </si>
  <si>
    <t>620614</t>
  </si>
  <si>
    <t>656241</t>
  </si>
  <si>
    <t>13.99</t>
  </si>
  <si>
    <t>14.35</t>
  </si>
  <si>
    <t>12.15</t>
  </si>
  <si>
    <t>13.11</t>
  </si>
  <si>
    <t>6.67</t>
  </si>
  <si>
    <t>7.06</t>
  </si>
  <si>
    <t>5.05</t>
  </si>
  <si>
    <t>5.57</t>
  </si>
  <si>
    <t>13.98</t>
  </si>
  <si>
    <t>14.18</t>
  </si>
  <si>
    <t>14.38</t>
  </si>
  <si>
    <t>14.58</t>
  </si>
  <si>
    <t>14.78</t>
  </si>
  <si>
    <t>36448</t>
  </si>
  <si>
    <t>34502</t>
  </si>
  <si>
    <t>36416</t>
  </si>
  <si>
    <t>41000</t>
  </si>
  <si>
    <t>42569</t>
  </si>
  <si>
    <t>44403</t>
  </si>
  <si>
    <t>38753</t>
  </si>
  <si>
    <t>38069</t>
  </si>
  <si>
    <t>39441</t>
  </si>
  <si>
    <t>41076</t>
  </si>
  <si>
    <t>30=27+28+29</t>
  </si>
  <si>
    <t xml:space="preserve">Number </t>
  </si>
  <si>
    <t>Number of Cards (net) (as on)</t>
  </si>
  <si>
    <t>08.07.15</t>
  </si>
  <si>
    <t>08.07.17</t>
  </si>
  <si>
    <t>16.07.15</t>
  </si>
  <si>
    <t>16.07.20</t>
  </si>
  <si>
    <t>2015-16</t>
  </si>
  <si>
    <r>
      <t>1.92</t>
    </r>
    <r>
      <rPr>
        <b/>
        <vertAlign val="superscript"/>
        <sz val="8"/>
        <rFont val="Times New Roman"/>
        <family val="1"/>
      </rPr>
      <t>(p)</t>
    </r>
  </si>
  <si>
    <t>05.08.15</t>
  </si>
  <si>
    <t>12.08.15</t>
  </si>
  <si>
    <t>12.08.20</t>
  </si>
  <si>
    <t>05.08.17</t>
  </si>
  <si>
    <t>29.07.15</t>
  </si>
  <si>
    <t>29.07.35</t>
  </si>
  <si>
    <t>22.07.15</t>
  </si>
  <si>
    <t>22.07.25</t>
  </si>
  <si>
    <t xml:space="preserve">     Source: Statistics Department, Bangladesh Bank.</t>
  </si>
  <si>
    <t xml:space="preserve">SCBs=State-Owned Commercial Banks; SBs = Specialized Banks; PCBs = Private Commercial Banks; FCBs= Foreign Commercial Banks </t>
  </si>
  <si>
    <r>
      <t>2015-16</t>
    </r>
    <r>
      <rPr>
        <b/>
        <vertAlign val="superscript"/>
        <sz val="8"/>
        <color indexed="8"/>
        <rFont val="Times New Roman"/>
        <family val="1"/>
      </rPr>
      <t>p</t>
    </r>
  </si>
  <si>
    <t>02.09.15</t>
  </si>
  <si>
    <t>02.09.17</t>
  </si>
  <si>
    <t>09.09.15</t>
  </si>
  <si>
    <t>09.09.20</t>
  </si>
  <si>
    <t>26.08.15</t>
  </si>
  <si>
    <t>26.08.30</t>
  </si>
  <si>
    <t>16.09.15</t>
  </si>
  <si>
    <t>16.09.25</t>
  </si>
  <si>
    <t>26.08.35</t>
  </si>
  <si>
    <t xml:space="preserve"> currency held in BB &amp; counter entry for government currency.     ***  Amount in Government over-draft A/C.  is included in loans and advances by Bangladesh Bank. </t>
  </si>
  <si>
    <t>* Figures relating to balance with BB revised from February, 2002 and onwards.    Balance with BB excludes FC clearing A/C.</t>
  </si>
  <si>
    <t>16.00-17.00</t>
  </si>
  <si>
    <t>2015-16(p)</t>
  </si>
  <si>
    <t>23.09.15</t>
  </si>
  <si>
    <t>23.09.35</t>
  </si>
  <si>
    <t>23.09.30</t>
  </si>
  <si>
    <t>07.10.15</t>
  </si>
  <si>
    <t>07.10.17</t>
  </si>
  <si>
    <t>14.10.15</t>
  </si>
  <si>
    <t>14.10.20</t>
  </si>
  <si>
    <t xml:space="preserve">** Data on National Savings Certificates have been revised from 1989-90 and onwards.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</si>
  <si>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             ... = Not available.   P = Provisional   </t>
  </si>
  <si>
    <t xml:space="preserve">…= Not available  </t>
  </si>
  <si>
    <r>
      <t>2015-16</t>
    </r>
    <r>
      <rPr>
        <b/>
        <vertAlign val="superscript"/>
        <sz val="8"/>
        <color indexed="8"/>
        <rFont val="Times New Roman"/>
        <family val="1"/>
      </rPr>
      <t>(p)</t>
    </r>
  </si>
  <si>
    <t xml:space="preserve"> Spread   (66-65)</t>
  </si>
  <si>
    <t xml:space="preserve"> Spread   (69-68)</t>
  </si>
  <si>
    <t xml:space="preserve">... = Not Available </t>
  </si>
  <si>
    <r>
      <t xml:space="preserve">Note     :      </t>
    </r>
    <r>
      <rPr>
        <sz val="8"/>
        <rFont val="Times New Roman"/>
        <family val="1"/>
      </rPr>
      <t>Miscellaneous includes IT-Sector, Tannery, Ceramic, Travel &amp; Corporate bond .</t>
    </r>
  </si>
  <si>
    <t>MICR= Magnetic Ink Character Recognition; ATM = Automated Teller Machine; POS = Point of Sale.</t>
  </si>
  <si>
    <t xml:space="preserve">** From period 2012 the income, expenditure and profitability of specialized banks (BDBL &amp; BASIC) are calculated on calendar year basis. </t>
  </si>
  <si>
    <r>
      <t>Total Expenditure</t>
    </r>
    <r>
      <rPr>
        <sz val="8"/>
        <color indexed="8"/>
        <rFont val="Times New Roman"/>
        <family val="1"/>
      </rPr>
      <t>***</t>
    </r>
  </si>
  <si>
    <t>04.11.15</t>
  </si>
  <si>
    <t>04.11.17</t>
  </si>
  <si>
    <t>11.11.15</t>
  </si>
  <si>
    <t>28.10.15</t>
  </si>
  <si>
    <t>28.10.35</t>
  </si>
  <si>
    <t>28.10.30</t>
  </si>
  <si>
    <t>18.11.15</t>
  </si>
  <si>
    <t>18.11.25</t>
  </si>
  <si>
    <t>CVIV</t>
  </si>
  <si>
    <t>CVV</t>
  </si>
  <si>
    <t>7.00-10.00</t>
  </si>
  <si>
    <t xml:space="preserve">Source: Statistics Department, Bangladesh Bank.   </t>
  </si>
  <si>
    <t>02.12.15</t>
  </si>
  <si>
    <t>02.12.17</t>
  </si>
  <si>
    <t>09.12.15</t>
  </si>
  <si>
    <t>09.12.20</t>
  </si>
  <si>
    <t>17.12.15</t>
  </si>
  <si>
    <t>25.11.15</t>
  </si>
  <si>
    <t>LXXXVIl</t>
  </si>
  <si>
    <t>LXXXVIIl</t>
  </si>
  <si>
    <t>XCl</t>
  </si>
  <si>
    <t>25.11.35</t>
  </si>
  <si>
    <t>25.11.30</t>
  </si>
  <si>
    <t>17.12.25</t>
  </si>
  <si>
    <t xml:space="preserve">…= Not available      </t>
  </si>
  <si>
    <t xml:space="preserve">Statistics Department,   Bangladesh Bank .      </t>
  </si>
  <si>
    <t>4. Md. Lulu Miah</t>
  </si>
  <si>
    <t>5. Asif Ahmed Mansur</t>
  </si>
  <si>
    <t>0.00-4.00</t>
  </si>
  <si>
    <t>Jan-Mar</t>
  </si>
  <si>
    <t>Apr-Jun</t>
  </si>
  <si>
    <t>Jul-Sep</t>
  </si>
  <si>
    <t>Oct-Dec.</t>
  </si>
  <si>
    <t>A.K.M. Fazlul Haque Mia</t>
  </si>
  <si>
    <t>4.00-4.50</t>
  </si>
  <si>
    <t>6.00-6.50</t>
  </si>
  <si>
    <t>9.50-10.50</t>
  </si>
  <si>
    <t>16.00-18.00</t>
  </si>
  <si>
    <t xml:space="preserve">    </t>
  </si>
  <si>
    <t>5.50-5.75</t>
  </si>
  <si>
    <t>11.00-13.00</t>
  </si>
  <si>
    <t>4.50-5.00</t>
  </si>
  <si>
    <t>4.25-4.75</t>
  </si>
  <si>
    <t>5.35-5.65</t>
  </si>
  <si>
    <t>06.01.16</t>
  </si>
  <si>
    <t>06.01.18</t>
  </si>
  <si>
    <t>03.02.16</t>
  </si>
  <si>
    <t>03.02.18</t>
  </si>
  <si>
    <t>13.01.16</t>
  </si>
  <si>
    <t>10.02.16</t>
  </si>
  <si>
    <t>20.01.16</t>
  </si>
  <si>
    <t>20.01.26</t>
  </si>
  <si>
    <t>27.01.16</t>
  </si>
  <si>
    <t>27.01.31</t>
  </si>
  <si>
    <t>27.01.36</t>
  </si>
  <si>
    <t>Fabruary</t>
  </si>
  <si>
    <t>02.03.16</t>
  </si>
  <si>
    <t>17.02.16</t>
  </si>
  <si>
    <t>17.02.26</t>
  </si>
  <si>
    <t>LXLI</t>
  </si>
  <si>
    <t>24.02.16</t>
  </si>
  <si>
    <t>24.02.31</t>
  </si>
  <si>
    <t>24.02.36</t>
  </si>
  <si>
    <t>31.1034768 gms.</t>
  </si>
  <si>
    <t>5.00-5.50</t>
  </si>
  <si>
    <t>3.50-4.50</t>
  </si>
  <si>
    <t>10.00-14.00</t>
  </si>
  <si>
    <t>4.25-4.50</t>
  </si>
  <si>
    <t>16.00-19.00</t>
  </si>
  <si>
    <t>2.00-4.75</t>
  </si>
  <si>
    <t>0.75-5.00</t>
  </si>
  <si>
    <t>5.35-5.50</t>
  </si>
  <si>
    <t>5.50-8.50</t>
  </si>
  <si>
    <t>8.50-11.50</t>
  </si>
  <si>
    <t>6.50-9.50</t>
  </si>
  <si>
    <t xml:space="preserve">… = Not available  </t>
  </si>
  <si>
    <t>Local        Authorities</t>
  </si>
  <si>
    <r>
      <t>2014-15</t>
    </r>
    <r>
      <rPr>
        <sz val="8"/>
        <rFont val="Times New Roman"/>
        <family val="1"/>
      </rPr>
      <t>*</t>
    </r>
  </si>
  <si>
    <t>824862</t>
  </si>
  <si>
    <t>878410</t>
  </si>
  <si>
    <t>12.81</t>
  </si>
  <si>
    <t>6.55</t>
  </si>
  <si>
    <t>53013</t>
  </si>
  <si>
    <t>Jul-Dec.</t>
  </si>
  <si>
    <t>09.03.16</t>
  </si>
  <si>
    <t>11.11.20</t>
  </si>
  <si>
    <t>13.01.21</t>
  </si>
  <si>
    <t>10.02.21</t>
  </si>
  <si>
    <t>09.03.21</t>
  </si>
  <si>
    <t>16.03.26</t>
  </si>
  <si>
    <t>23.03.16</t>
  </si>
  <si>
    <t>23.03.36</t>
  </si>
  <si>
    <t>12.25-12.75</t>
  </si>
  <si>
    <t>9.50-12.50</t>
  </si>
  <si>
    <t>10.50-13.50</t>
  </si>
  <si>
    <t>11.50-14.50</t>
  </si>
  <si>
    <t>12.00-12.50</t>
  </si>
  <si>
    <t>12.75-13.00</t>
  </si>
  <si>
    <t>12.50-12.75</t>
  </si>
  <si>
    <t>13.00-13.50</t>
  </si>
  <si>
    <t>12.50-13.00</t>
  </si>
  <si>
    <t>13.50-16.50</t>
  </si>
  <si>
    <t>12.50-15.50</t>
  </si>
  <si>
    <t>13.00-15.50</t>
  </si>
  <si>
    <t>13.50-14.50</t>
  </si>
  <si>
    <t>11.50-14.00</t>
  </si>
  <si>
    <t>5.50-6.50</t>
  </si>
  <si>
    <t>3.25-4.00</t>
  </si>
  <si>
    <t>9.00-17.50</t>
  </si>
  <si>
    <t>9.00-15.00</t>
  </si>
  <si>
    <t>3.00-4.00</t>
  </si>
  <si>
    <t>12.75-15.75</t>
  </si>
  <si>
    <t>14.25-17.25</t>
  </si>
  <si>
    <t>7.75-10.75</t>
  </si>
  <si>
    <t>12.50-14.50</t>
  </si>
  <si>
    <t>14.75-17.75</t>
  </si>
  <si>
    <t>7.50-10.50</t>
  </si>
  <si>
    <t xml:space="preserve">   Milk &amp;      Dairy  Products</t>
  </si>
  <si>
    <t xml:space="preserve">   Deputy Director</t>
  </si>
  <si>
    <t>04.05.16</t>
  </si>
  <si>
    <t>02.03.18</t>
  </si>
  <si>
    <t>04.05.18</t>
  </si>
  <si>
    <t>06.04.16</t>
  </si>
  <si>
    <t>06.04.18</t>
  </si>
  <si>
    <t>13.04.16</t>
  </si>
  <si>
    <t>13.04.21</t>
  </si>
  <si>
    <t>20.04.26</t>
  </si>
  <si>
    <t>27.04.16</t>
  </si>
  <si>
    <t>27.04.36</t>
  </si>
  <si>
    <t>2.  Weighted average rates of interest on deposits and advances of 28 deposits taking Non Bank Financial Institutions (NBFIs) have been introduced from June 2013  .</t>
  </si>
  <si>
    <t xml:space="preserve">Import data are on C&amp;F/CIF basis upto June 2014 and fob basis from July 2014 and onwards                                                                                                       </t>
  </si>
  <si>
    <t>6.00-9.00</t>
  </si>
  <si>
    <t>11.00-16.00</t>
  </si>
  <si>
    <t>5.00-13.00</t>
  </si>
  <si>
    <t>12.00-13.50</t>
  </si>
  <si>
    <t>10.00-16.50</t>
  </si>
  <si>
    <t>7.00-16.00</t>
  </si>
  <si>
    <t>1.00-3.50</t>
  </si>
  <si>
    <t>Suggestions/Comments for improvement in the contents of this booklet would  highly be appreciated. Users may kindly contact the following e-mail addresses with their suggestions/comments and queries, if any:</t>
  </si>
  <si>
    <t>10.00-12.00</t>
  </si>
  <si>
    <t>8.75-11.75</t>
  </si>
  <si>
    <t>0.55-0.70</t>
  </si>
  <si>
    <t>08.06.16</t>
  </si>
  <si>
    <t>08.06.18</t>
  </si>
  <si>
    <t>11.05.16</t>
  </si>
  <si>
    <t>11.05.21</t>
  </si>
  <si>
    <t>18.05.26</t>
  </si>
  <si>
    <t>25.05.16</t>
  </si>
  <si>
    <t>25.05.31</t>
  </si>
  <si>
    <t>LXXXL</t>
  </si>
  <si>
    <t>25.05.36</t>
  </si>
  <si>
    <t>2.50-4.50</t>
  </si>
  <si>
    <t>12.00-16.00</t>
  </si>
  <si>
    <t>2.00-3.50</t>
  </si>
  <si>
    <t>4.00-4.25</t>
  </si>
  <si>
    <t>Jan-Mar.</t>
  </si>
  <si>
    <t>2)  From June, 2016 Statistics Department &amp; Upto May, 2016 Foreign Exchange Policy Department, Bangladesh Bank.</t>
  </si>
  <si>
    <t>2016-17</t>
  </si>
  <si>
    <t>From June, 2016 Statistics Department &amp; Upto May, 2016 Foreign Exchange Policy Department, Bangladesh Bank.</t>
  </si>
  <si>
    <t>5.25-5.75</t>
  </si>
  <si>
    <t>8.50-10.00</t>
  </si>
  <si>
    <t>8.00-10.00</t>
  </si>
  <si>
    <t>3.50-4.00</t>
  </si>
  <si>
    <t>2.00-10.00</t>
  </si>
  <si>
    <t xml:space="preserve">              … =  Not available</t>
  </si>
  <si>
    <t>Note: From period 2015 BDBL &amp; BASIC banks are treated as State Owned Banks</t>
  </si>
  <si>
    <t>13.07.16</t>
  </si>
  <si>
    <t>13.07.18</t>
  </si>
  <si>
    <t>03.08.18</t>
  </si>
  <si>
    <t>15.06.16</t>
  </si>
  <si>
    <t>15.06.21</t>
  </si>
  <si>
    <t>10.08.16</t>
  </si>
  <si>
    <t>20.07.16</t>
  </si>
  <si>
    <t>20.07.26</t>
  </si>
  <si>
    <t>22.06.26</t>
  </si>
  <si>
    <t>29.06.16</t>
  </si>
  <si>
    <t>29.06.31</t>
  </si>
  <si>
    <t>27.07.16</t>
  </si>
  <si>
    <t>27.07.31</t>
  </si>
  <si>
    <t>25.05.11</t>
  </si>
  <si>
    <t>29.06.11</t>
  </si>
  <si>
    <t>27.07.11</t>
  </si>
  <si>
    <t xml:space="preserve"> 28.09.31</t>
  </si>
  <si>
    <t>29.06.36</t>
  </si>
  <si>
    <t>27.07.36</t>
  </si>
  <si>
    <t>Apr.-Jun.</t>
  </si>
  <si>
    <t>6.50-6.75</t>
  </si>
  <si>
    <t>7.50-8.00</t>
  </si>
  <si>
    <t>4.50-5.75</t>
  </si>
  <si>
    <t>6.00-10.00</t>
  </si>
  <si>
    <t>1.00-4.00</t>
  </si>
  <si>
    <r>
      <t>2016-17</t>
    </r>
    <r>
      <rPr>
        <b/>
        <vertAlign val="superscript"/>
        <sz val="8"/>
        <color indexed="8"/>
        <rFont val="Times New Roman"/>
        <family val="1"/>
      </rPr>
      <t>p</t>
    </r>
  </si>
  <si>
    <t xml:space="preserve">       …=  not available</t>
  </si>
  <si>
    <t>07.09.18</t>
  </si>
  <si>
    <t>17.08.16</t>
  </si>
  <si>
    <t>24.08.16</t>
  </si>
  <si>
    <t>24.08.31</t>
  </si>
  <si>
    <t xml:space="preserve">Jan.-Mar. </t>
  </si>
  <si>
    <t>***Total expenditure includes foreign currency revaluation (loss).                        …= Not applicable/available.</t>
  </si>
  <si>
    <t>Rate of interest of Scheduled Banks (Weighted Average)</t>
  </si>
  <si>
    <t>Rate of interest of NBFIs (Weighted Average)</t>
  </si>
  <si>
    <t xml:space="preserve">iii)   9 percent of savings deposits are included in Demand Deposits with effect from July 2007.            </t>
  </si>
  <si>
    <t xml:space="preserve">      deposits held in the banking system (BB &amp; DMBs).   </t>
  </si>
  <si>
    <t xml:space="preserve">Claims on resident sector exclude inter-bank claims.        </t>
  </si>
  <si>
    <t xml:space="preserve">NBDC=Non-bank Depository Corporation.                             …= Not available             </t>
  </si>
  <si>
    <t xml:space="preserve">2. Data on Net Foreign Assets &amp; Net Other Assets have been revised from 2004-05 and onwards.   </t>
  </si>
  <si>
    <t xml:space="preserve">2016-17 </t>
  </si>
  <si>
    <t xml:space="preserve">July </t>
  </si>
  <si>
    <t>COMPANY /SECTOR                                                                                                                                             GROUPS</t>
  </si>
  <si>
    <t>6.50-7.78</t>
  </si>
  <si>
    <t>5.50-7.00</t>
  </si>
  <si>
    <t>5.75-6.25</t>
  </si>
  <si>
    <t>6.25-7.00</t>
  </si>
  <si>
    <t>1.00-2.75</t>
  </si>
  <si>
    <t>9.00-14.00</t>
  </si>
  <si>
    <t>10.00-11.50</t>
  </si>
  <si>
    <t>7.00-15.00</t>
  </si>
  <si>
    <t>11.50-13.50</t>
  </si>
  <si>
    <t>2.88-5.88</t>
  </si>
  <si>
    <r>
      <t>2016-17</t>
    </r>
    <r>
      <rPr>
        <b/>
        <vertAlign val="superscript"/>
        <sz val="8"/>
        <color indexed="8"/>
        <rFont val="Times New Roman"/>
        <family val="1"/>
      </rPr>
      <t>(p)</t>
    </r>
  </si>
  <si>
    <t xml:space="preserve">            From 2012-13 CPI and Inflation are calculated using new base 2005-06=100</t>
  </si>
  <si>
    <t xml:space="preserve">    --- = Not Available</t>
  </si>
  <si>
    <t>from October 2004 to December 2015 and again reclassified as claims on Govt. from January 2016 and onwards</t>
  </si>
  <si>
    <t xml:space="preserve">Figures relating to Islamic Investment Bond are re-classified as claims on other public sector instead of other assets  </t>
  </si>
  <si>
    <t xml:space="preserve"> By NBDCs       In Taka A/C</t>
  </si>
  <si>
    <t>Statistics Department</t>
  </si>
  <si>
    <t xml:space="preserve">Net Foreign Assets &amp; Broad Money have been revised from 1998-99 and onwards.            </t>
  </si>
  <si>
    <t xml:space="preserve">Claims on Resident Sector exclude BB &amp; ODCs.       </t>
  </si>
  <si>
    <t>2016-17(p)</t>
  </si>
  <si>
    <t>(Base: 1995-96=100 upto 2012-13 and</t>
  </si>
  <si>
    <t>2005-06=100 from 2012-13 and onwards)</t>
  </si>
  <si>
    <t>05.10.18</t>
  </si>
  <si>
    <t>13.10.16</t>
  </si>
  <si>
    <t>13.10.21</t>
  </si>
  <si>
    <t>26.12.11</t>
  </si>
  <si>
    <t>26.12.17</t>
  </si>
  <si>
    <t>XCVIII</t>
  </si>
  <si>
    <t>29.09.16</t>
  </si>
  <si>
    <t>19.10.16</t>
  </si>
  <si>
    <t>28.09.16</t>
  </si>
  <si>
    <t>28.09.31</t>
  </si>
  <si>
    <t>28.09.36</t>
  </si>
  <si>
    <t>26.10.11</t>
  </si>
  <si>
    <t>24.08.11</t>
  </si>
  <si>
    <t>28.09.11</t>
  </si>
  <si>
    <t>5.00-5.25</t>
  </si>
  <si>
    <t>5.50-6.00</t>
  </si>
  <si>
    <t>5.35-7.00</t>
  </si>
  <si>
    <t>1.00-1.75</t>
  </si>
  <si>
    <t>2.00-5.90</t>
  </si>
  <si>
    <t>2.00-6.30</t>
  </si>
  <si>
    <t>5.00-8.00</t>
  </si>
  <si>
    <t>3.80-6.80</t>
  </si>
  <si>
    <r>
      <t>2015-16</t>
    </r>
    <r>
      <rPr>
        <sz val="8"/>
        <rFont val="Times New Roman"/>
        <family val="1"/>
      </rPr>
      <t>*</t>
    </r>
  </si>
  <si>
    <t xml:space="preserve"> *= New base Year 2005-06.</t>
  </si>
  <si>
    <t>*= New base year 2005-06</t>
  </si>
  <si>
    <t>Total       Invest-ments at Current Market Price</t>
  </si>
  <si>
    <t xml:space="preserve">   *= New base year 2005-06.</t>
  </si>
  <si>
    <t>PROFIT RATE STRUCTURE OF THE ISLAMIC BANKS, 2015</t>
  </si>
  <si>
    <t>Profit Rate Structure of  the Islamic Banks, 2015</t>
  </si>
  <si>
    <t>02.11.18</t>
  </si>
  <si>
    <t>09.11.16</t>
  </si>
  <si>
    <t>09.11.21</t>
  </si>
  <si>
    <t>26.10.16</t>
  </si>
  <si>
    <t>26.10.31</t>
  </si>
  <si>
    <t>28.12.11</t>
  </si>
  <si>
    <t>26.10.36</t>
  </si>
  <si>
    <t>e-mail: rafiqul.islam178@bb.org.bd</t>
  </si>
  <si>
    <t xml:space="preserve">1. Total number of Clearing House Centres are 39 of which 8 are managed by the Bangladesh  Bank and the rest by the Sonali Bank Ltd. </t>
  </si>
  <si>
    <t>2. Due to inclusion of Table IIG (column 3) figure of column 56 &amp; 57  have been dropped from July 2014 .</t>
  </si>
  <si>
    <t>11.50-12.50</t>
  </si>
  <si>
    <t>15.00-16.50</t>
  </si>
  <si>
    <t>1.00-6.50</t>
  </si>
  <si>
    <t>6.50-7.00</t>
  </si>
  <si>
    <t>2.00-6.50</t>
  </si>
  <si>
    <t>3.00-6.50</t>
  </si>
  <si>
    <t>4.75-6.50</t>
  </si>
  <si>
    <t>11.00-11.50</t>
  </si>
  <si>
    <t>5.50-16.00</t>
  </si>
  <si>
    <t>4.00-16.00</t>
  </si>
  <si>
    <t>14.12.16</t>
  </si>
  <si>
    <t>16.11.16</t>
  </si>
  <si>
    <t>LXLII</t>
  </si>
  <si>
    <t>23.11.16</t>
  </si>
  <si>
    <t>23.11.36</t>
  </si>
  <si>
    <t>5.75-7.00</t>
  </si>
  <si>
    <t>3.55-6.00</t>
  </si>
  <si>
    <t>6.75-7.00</t>
  </si>
  <si>
    <t>3.25-3.50</t>
  </si>
  <si>
    <t>2.25-2.75</t>
  </si>
  <si>
    <t>2.50-3.25</t>
  </si>
  <si>
    <t>3.00-4.50</t>
  </si>
  <si>
    <t>3.50-6.25</t>
  </si>
  <si>
    <t>4.00-6.50</t>
  </si>
  <si>
    <t>4.75-5.00</t>
  </si>
  <si>
    <t>14.50-15.00</t>
  </si>
  <si>
    <t>5.00-15.00</t>
  </si>
  <si>
    <t xml:space="preserve">3. Md. Rafiqul Islam                                 Joint Director      </t>
  </si>
  <si>
    <t xml:space="preserve">       Executive Director (Specialized)</t>
  </si>
  <si>
    <t>55631</t>
  </si>
  <si>
    <t>United States (Kansas City)</t>
  </si>
  <si>
    <t>Palm Oil                         (US $/MT)</t>
  </si>
  <si>
    <t>Wheat                                                   (US $/MT)</t>
  </si>
  <si>
    <t>03.01.17</t>
  </si>
  <si>
    <t>03.01.19</t>
  </si>
  <si>
    <t>11.01.17</t>
  </si>
  <si>
    <t>21.12.16</t>
  </si>
  <si>
    <t>LXLIII</t>
  </si>
  <si>
    <t>28.12.16</t>
  </si>
  <si>
    <t>28.12.31</t>
  </si>
  <si>
    <t>28.12.36</t>
  </si>
  <si>
    <t>3. Export data are shipment based &amp; Import data are on C&amp;F/CIF basis upto June 2014 and fob basis from July 2014 and onwards</t>
  </si>
  <si>
    <t>Import Payments</t>
  </si>
  <si>
    <t>ii)    Deposit Money Banks (DMBs) comprise 57 Scheduled Banks and BSBL .</t>
  </si>
  <si>
    <t>e-mail: mansura.parvin@bb.org.bd</t>
  </si>
  <si>
    <t xml:space="preserve">2. Mansura Parvin                            Deputy General Manager  </t>
  </si>
  <si>
    <t>Bank-wise Announced Interest Rate Structure in Bangladesh (Except Islamic Banks), January 2017</t>
  </si>
  <si>
    <t>February 2017</t>
  </si>
  <si>
    <t>IN BANGLADESH (EXCEPT ISLAMIC BANKS), January 2017</t>
  </si>
  <si>
    <r>
      <t xml:space="preserve">IN BANGLADESH (EXCEPT ISLAMIC BANKS), </t>
    </r>
    <r>
      <rPr>
        <b/>
        <sz val="9"/>
        <rFont val="Times New Roman"/>
        <family val="1"/>
      </rPr>
      <t>January 2017</t>
    </r>
  </si>
  <si>
    <t>5.25-6.00</t>
  </si>
  <si>
    <t>5.00-5.75</t>
  </si>
  <si>
    <t>3.00-3.20</t>
  </si>
  <si>
    <t>3.25-3.35</t>
  </si>
  <si>
    <t>3.40-3.50</t>
  </si>
  <si>
    <t>3.80-4.00</t>
  </si>
  <si>
    <t>4.30-4.50</t>
  </si>
  <si>
    <t>4.00-6.25</t>
  </si>
  <si>
    <t>6.00-6.75</t>
  </si>
  <si>
    <t>7.00-7.50</t>
  </si>
  <si>
    <t>5.00-6.50</t>
  </si>
  <si>
    <t>4.50-5.50</t>
  </si>
  <si>
    <t>4.00-11.00</t>
  </si>
  <si>
    <t>8.95-11.95</t>
  </si>
  <si>
    <t>9.00-11.95</t>
  </si>
  <si>
    <t>              3. Department of Agricultural Marketing</t>
  </si>
  <si>
    <t>              4. Bangladesh Bureau of Statistics</t>
  </si>
  <si>
    <t>              5. Bangladesh Tea Board</t>
  </si>
  <si>
    <t>2. Bangladesh Jute Mills Corporation</t>
  </si>
  <si>
    <t>1.  Md. Mizanur Rahman                                 General Manager</t>
  </si>
  <si>
    <t>15.02.17</t>
  </si>
  <si>
    <t>05.02.22</t>
  </si>
  <si>
    <t>18.01.17</t>
  </si>
  <si>
    <t>LXLIV</t>
  </si>
  <si>
    <t>25.01.17</t>
  </si>
  <si>
    <t>25.01.32</t>
  </si>
  <si>
    <t>XCX</t>
  </si>
  <si>
    <t>25.01.37</t>
  </si>
  <si>
    <t>Government Notes &amp; Coins</t>
  </si>
  <si>
    <t>i)     5 tk is considered as Govt. Currencies since June 2016 and  Demand &amp; Time Deposits under Columns 8 &amp; 9 exclude Restricted Deposits.</t>
  </si>
  <si>
    <t>Bangladesh Bank (BB) Notes &amp; Coins</t>
  </si>
</sst>
</file>

<file path=xl/styles.xml><?xml version="1.0" encoding="utf-8"?>
<styleSheet xmlns="http://schemas.openxmlformats.org/spreadsheetml/2006/main">
  <numFmts count="18">
    <numFmt numFmtId="43" formatCode="_(* #,##0.00_);_(* \(#,##0.00\);_(* &quot;-&quot;??_);_(@_)"/>
    <numFmt numFmtId="164" formatCode="0.0"/>
    <numFmt numFmtId="165" formatCode="0.000"/>
    <numFmt numFmtId="166" formatCode="0.0000"/>
    <numFmt numFmtId="167" formatCode="\(0.00\)"/>
    <numFmt numFmtId="168" formatCode="0.00;[Red]0.00"/>
    <numFmt numFmtId="169" formatCode="00000"/>
    <numFmt numFmtId="170" formatCode="0.0;[Red]0.0"/>
    <numFmt numFmtId="171" formatCode="0;[Red]0"/>
    <numFmt numFmtId="172" formatCode="\(0\)"/>
    <numFmt numFmtId="173" formatCode="0_);\(0\)"/>
    <numFmt numFmtId="174" formatCode="dd/mm/yyyy;@"/>
    <numFmt numFmtId="175" formatCode="d\.m\.yy;@"/>
    <numFmt numFmtId="176" formatCode="B1mmm/yy"/>
    <numFmt numFmtId="177" formatCode="#,##0.000000000000"/>
    <numFmt numFmtId="178" formatCode="0.0000000000000_);\(0.0000000000000\)"/>
    <numFmt numFmtId="179" formatCode="0.000000000000_);\(0.000000000000\)"/>
    <numFmt numFmtId="180" formatCode="0.00000000000"/>
  </numFmts>
  <fonts count="158">
    <font>
      <sz val="10"/>
      <name val="Arial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color indexed="8"/>
      <name val="Arial"/>
      <family val="2"/>
    </font>
    <font>
      <sz val="9"/>
      <name val="Arial"/>
      <family val="2"/>
    </font>
    <font>
      <sz val="8"/>
      <color indexed="8"/>
      <name val="Times New Roman"/>
      <family val="1"/>
    </font>
    <font>
      <sz val="7"/>
      <name val="Times New Roman"/>
      <family val="1"/>
    </font>
    <font>
      <sz val="8"/>
      <name val="Times New Roman"/>
      <family val="1"/>
    </font>
    <font>
      <sz val="9"/>
      <color indexed="8"/>
      <name val="Times New Roman"/>
      <family val="1"/>
    </font>
    <font>
      <b/>
      <sz val="8"/>
      <color indexed="8"/>
      <name val="Times New Roman"/>
      <family val="1"/>
    </font>
    <font>
      <sz val="6"/>
      <color indexed="8"/>
      <name val="Times New Roman"/>
      <family val="1"/>
    </font>
    <font>
      <sz val="7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2"/>
      <name val="Times New Roman"/>
      <family val="1"/>
    </font>
    <font>
      <b/>
      <sz val="10"/>
      <color indexed="18"/>
      <name val="Times New Roman"/>
      <family val="1"/>
    </font>
    <font>
      <b/>
      <sz val="8"/>
      <name val="Times New Roman"/>
      <family val="1"/>
    </font>
    <font>
      <b/>
      <sz val="6.5"/>
      <name val="Times New Roman"/>
      <family val="1"/>
    </font>
    <font>
      <sz val="6.5"/>
      <name val="Times New Roman"/>
      <family val="1"/>
    </font>
    <font>
      <b/>
      <sz val="6.5"/>
      <color indexed="8"/>
      <name val="Times New Roman"/>
      <family val="1"/>
    </font>
    <font>
      <sz val="6.5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8.5"/>
      <color indexed="8"/>
      <name val="Times New Roman"/>
      <family val="1"/>
    </font>
    <font>
      <sz val="12"/>
      <name val="Times New Roman"/>
      <family val="1"/>
    </font>
    <font>
      <sz val="6"/>
      <name val="Times New Roman"/>
      <family val="1"/>
    </font>
    <font>
      <b/>
      <vertAlign val="subscript"/>
      <sz val="12"/>
      <color indexed="8"/>
      <name val="Times New Roman"/>
      <family val="1"/>
    </font>
    <font>
      <b/>
      <vertAlign val="subscript"/>
      <sz val="12"/>
      <name val="Times New Roman"/>
      <family val="1"/>
    </font>
    <font>
      <b/>
      <sz val="7"/>
      <name val="Times New Roman"/>
      <family val="1"/>
    </font>
    <font>
      <vertAlign val="subscript"/>
      <sz val="7"/>
      <name val="Times New Roman"/>
      <family val="1"/>
    </font>
    <font>
      <b/>
      <sz val="10.5"/>
      <color indexed="8"/>
      <name val="Times New Roman"/>
      <family val="1"/>
    </font>
    <font>
      <sz val="10.5"/>
      <color indexed="8"/>
      <name val="Times New Roman"/>
      <family val="1"/>
    </font>
    <font>
      <sz val="7.5"/>
      <name val="Times New Roman"/>
      <family val="1"/>
    </font>
    <font>
      <b/>
      <sz val="7.5"/>
      <name val="Times New Roman"/>
      <family val="1"/>
    </font>
    <font>
      <sz val="8"/>
      <color indexed="10"/>
      <name val="Times New Roman"/>
      <family val="1"/>
    </font>
    <font>
      <sz val="7.5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8"/>
      <name val="Arial"/>
      <family val="2"/>
    </font>
    <font>
      <b/>
      <sz val="8"/>
      <color indexed="18"/>
      <name val="Times New Roman"/>
      <family val="1"/>
    </font>
    <font>
      <sz val="8"/>
      <color indexed="18"/>
      <name val="Times New Roman"/>
      <family val="1"/>
    </font>
    <font>
      <b/>
      <sz val="11"/>
      <name val="Times New Roman"/>
      <family val="1"/>
    </font>
    <font>
      <sz val="8.5"/>
      <name val="Times New Roman"/>
      <family val="1"/>
    </font>
    <font>
      <b/>
      <sz val="6"/>
      <name val="Times New Roman"/>
      <family val="1"/>
    </font>
    <font>
      <vertAlign val="superscript"/>
      <sz val="6.5"/>
      <color indexed="8"/>
      <name val="Times New Roman"/>
      <family val="1"/>
    </font>
    <font>
      <b/>
      <sz val="7.5"/>
      <name val="Arial Narrow"/>
      <family val="2"/>
    </font>
    <font>
      <sz val="10"/>
      <name val="Arial"/>
      <family val="2"/>
    </font>
    <font>
      <b/>
      <sz val="12"/>
      <color indexed="8"/>
      <name val="Calibri"/>
      <family val="2"/>
    </font>
    <font>
      <sz val="8.5"/>
      <color indexed="8"/>
      <name val="Times New Roman"/>
      <family val="1"/>
    </font>
    <font>
      <sz val="8"/>
      <name val="Arial"/>
      <family val="2"/>
    </font>
    <font>
      <sz val="9"/>
      <color indexed="8"/>
      <name val="Arial Narrow"/>
      <family val="2"/>
    </font>
    <font>
      <vertAlign val="superscript"/>
      <sz val="9"/>
      <color indexed="8"/>
      <name val="Times New Roman"/>
      <family val="1"/>
    </font>
    <font>
      <sz val="5"/>
      <color indexed="8"/>
      <name val="Times New Roman"/>
      <family val="1"/>
    </font>
    <font>
      <b/>
      <sz val="14"/>
      <name val="Times New Roman"/>
      <family val="1"/>
    </font>
    <font>
      <b/>
      <sz val="16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sz val="14"/>
      <name val="Times New Roman"/>
      <family val="1"/>
    </font>
    <font>
      <sz val="16"/>
      <name val="Times New Roman"/>
      <family val="1"/>
    </font>
    <font>
      <b/>
      <sz val="6"/>
      <color indexed="8"/>
      <name val="Times New Roman"/>
      <family val="1"/>
    </font>
    <font>
      <sz val="5"/>
      <name val="Times New Roman"/>
      <family val="1"/>
    </font>
    <font>
      <b/>
      <sz val="16"/>
      <name val="Arial"/>
      <family val="2"/>
    </font>
    <font>
      <sz val="11"/>
      <name val="Arial"/>
      <family val="2"/>
    </font>
    <font>
      <sz val="52"/>
      <name val="Arial"/>
      <family val="2"/>
    </font>
    <font>
      <sz val="7"/>
      <name val="Arial"/>
      <family val="2"/>
    </font>
    <font>
      <b/>
      <sz val="7.5"/>
      <color indexed="8"/>
      <name val="Times New Roman"/>
      <family val="1"/>
    </font>
    <font>
      <b/>
      <sz val="20"/>
      <name val="Times New Roman"/>
      <family val="1"/>
    </font>
    <font>
      <sz val="16"/>
      <name val="Arial"/>
      <family val="2"/>
    </font>
    <font>
      <sz val="22"/>
      <name val="Times New Roman"/>
      <family val="1"/>
    </font>
    <font>
      <b/>
      <sz val="22"/>
      <name val="Times New Roman"/>
      <family val="1"/>
    </font>
    <font>
      <b/>
      <sz val="10"/>
      <name val="Arial"/>
      <family val="2"/>
    </font>
    <font>
      <b/>
      <sz val="18"/>
      <name val="Times New Roman"/>
      <family val="1"/>
    </font>
    <font>
      <sz val="8"/>
      <color indexed="8"/>
      <name val="Arial Narrow"/>
      <family val="2"/>
    </font>
    <font>
      <sz val="7"/>
      <name val="Arial Narrow"/>
      <family val="2"/>
    </font>
    <font>
      <b/>
      <sz val="10"/>
      <color indexed="8"/>
      <name val="Arial Narrow"/>
      <family val="2"/>
    </font>
    <font>
      <sz val="8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7.5"/>
      <color indexed="8"/>
      <name val="Arial Narrow"/>
      <family val="2"/>
    </font>
    <font>
      <b/>
      <sz val="10.5"/>
      <color indexed="8"/>
      <name val="Arial Narrow"/>
      <family val="2"/>
    </font>
    <font>
      <b/>
      <sz val="6.5"/>
      <name val="Arial Narrow"/>
      <family val="2"/>
    </font>
    <font>
      <sz val="6.5"/>
      <name val="Arial Narrow"/>
      <family val="2"/>
    </font>
    <font>
      <b/>
      <vertAlign val="superscript"/>
      <sz val="9"/>
      <color indexed="8"/>
      <name val="Arial Narrow"/>
      <family val="2"/>
    </font>
    <font>
      <b/>
      <sz val="8"/>
      <color indexed="8"/>
      <name val="Arial Narrow"/>
      <family val="2"/>
    </font>
    <font>
      <sz val="5.5"/>
      <name val="Times New Roman"/>
      <family val="1"/>
    </font>
    <font>
      <b/>
      <sz val="5.5"/>
      <name val="Times New Roman"/>
      <family val="1"/>
    </font>
    <font>
      <sz val="7"/>
      <color indexed="8"/>
      <name val="Arial Narrow"/>
      <family val="2"/>
    </font>
    <font>
      <b/>
      <vertAlign val="superscript"/>
      <sz val="9"/>
      <color indexed="8"/>
      <name val="Times New Roman"/>
      <family val="1"/>
    </font>
    <font>
      <b/>
      <sz val="8.5"/>
      <color indexed="8"/>
      <name val="Arial Narrow"/>
      <family val="2"/>
    </font>
    <font>
      <b/>
      <vertAlign val="superscript"/>
      <sz val="8.5"/>
      <color indexed="8"/>
      <name val="Arial Narrow"/>
      <family val="2"/>
    </font>
    <font>
      <b/>
      <sz val="9.5"/>
      <color indexed="8"/>
      <name val="Arial Narrow"/>
      <family val="2"/>
    </font>
    <font>
      <b/>
      <vertAlign val="superscript"/>
      <sz val="8"/>
      <color indexed="8"/>
      <name val="Times New Roman"/>
      <family val="1"/>
    </font>
    <font>
      <b/>
      <sz val="8.25"/>
      <color indexed="8"/>
      <name val="Arial Narrow"/>
      <family val="2"/>
    </font>
    <font>
      <b/>
      <vertAlign val="superscript"/>
      <sz val="8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u/>
      <sz val="8"/>
      <color rgb="FF800080"/>
      <name val="Calibri"/>
      <family val="2"/>
      <scheme val="minor"/>
    </font>
    <font>
      <sz val="11"/>
      <color rgb="FF006100"/>
      <name val="Calibri"/>
      <family val="2"/>
      <charset val="1"/>
      <scheme val="min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u/>
      <sz val="8"/>
      <color rgb="FF0000FF"/>
      <name val="Calibri"/>
      <family val="2"/>
      <scheme val="minor"/>
    </font>
    <font>
      <sz val="11"/>
      <color rgb="FF3F3F76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8"/>
      <color theme="3"/>
      <name val="Cambria"/>
      <family val="2"/>
      <charset val="1"/>
      <scheme val="major"/>
    </font>
    <font>
      <b/>
      <sz val="11"/>
      <color theme="1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sz val="7"/>
      <color rgb="FF000000"/>
      <name val="Times New Roman"/>
      <family val="1"/>
    </font>
    <font>
      <sz val="8"/>
      <color theme="1"/>
      <name val="Times New Roman"/>
      <family val="1"/>
    </font>
    <font>
      <sz val="11"/>
      <name val="Calibri"/>
      <family val="2"/>
      <scheme val="minor"/>
    </font>
    <font>
      <b/>
      <sz val="16"/>
      <color theme="0"/>
      <name val="Arial"/>
      <family val="2"/>
    </font>
    <font>
      <sz val="8"/>
      <color rgb="FFFF0000"/>
      <name val="Times New Roman"/>
      <family val="1"/>
    </font>
    <font>
      <sz val="7"/>
      <color rgb="FFFF0000"/>
      <name val="Times New Roman"/>
      <family val="1"/>
    </font>
    <font>
      <sz val="7.5"/>
      <color rgb="FFFF0000"/>
      <name val="Times New Roman"/>
      <family val="1"/>
    </font>
    <font>
      <sz val="6.25"/>
      <color rgb="FFFF0000"/>
      <name val="Arial Narrow"/>
      <family val="2"/>
    </font>
    <font>
      <sz val="6"/>
      <color rgb="FFFF0000"/>
      <name val="Arial Narrow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6.5"/>
      <color theme="1"/>
      <name val="Times New Roman"/>
      <family val="1"/>
    </font>
    <font>
      <sz val="6"/>
      <color theme="1"/>
      <name val="Times New Roman"/>
      <family val="1"/>
    </font>
    <font>
      <sz val="7.5"/>
      <color theme="1"/>
      <name val="Times New Roman"/>
      <family val="1"/>
    </font>
    <font>
      <b/>
      <sz val="7"/>
      <color theme="1"/>
      <name val="Arial Narrow"/>
      <family val="2"/>
    </font>
    <font>
      <b/>
      <sz val="6"/>
      <color theme="1"/>
      <name val="Arial Narrow"/>
      <family val="2"/>
    </font>
    <font>
      <sz val="7"/>
      <color theme="1"/>
      <name val="Arial Narrow"/>
      <family val="2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10"/>
      <color theme="0"/>
      <name val="Times New Roman"/>
      <family val="1"/>
    </font>
    <font>
      <sz val="8"/>
      <color theme="1"/>
      <name val="Arial"/>
      <family val="2"/>
    </font>
    <font>
      <sz val="8"/>
      <color rgb="FF000066"/>
      <name val="Times New Roman"/>
      <family val="1"/>
    </font>
    <font>
      <sz val="8"/>
      <color rgb="FF000000"/>
      <name val="Arial"/>
      <family val="2"/>
    </font>
    <font>
      <b/>
      <sz val="7.5"/>
      <color theme="1"/>
      <name val="Times New Roman"/>
      <family val="1"/>
    </font>
    <font>
      <b/>
      <sz val="52"/>
      <color theme="0"/>
      <name val="Arial"/>
      <family val="2"/>
    </font>
    <font>
      <b/>
      <sz val="36"/>
      <color theme="0"/>
      <name val="Arial Narrow"/>
      <family val="2"/>
    </font>
    <font>
      <sz val="6"/>
      <color rgb="FF000000"/>
      <name val="Times New Roman"/>
      <family val="1"/>
    </font>
    <font>
      <b/>
      <sz val="7.5"/>
      <color theme="1"/>
      <name val="Arial Narrow"/>
      <family val="2"/>
    </font>
    <font>
      <sz val="8.5"/>
      <color theme="1"/>
      <name val="Times New Roman"/>
      <family val="1"/>
    </font>
  </fonts>
  <fills count="39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CCCCCC"/>
      </top>
      <bottom/>
      <diagonal/>
    </border>
  </borders>
  <cellStyleXfs count="232">
    <xf numFmtId="0" fontId="0" fillId="0" borderId="0"/>
    <xf numFmtId="0" fontId="105" fillId="3" borderId="0" applyNumberFormat="0" applyBorder="0" applyAlignment="0" applyProtection="0"/>
    <xf numFmtId="0" fontId="105" fillId="3" borderId="0" applyNumberFormat="0" applyBorder="0" applyAlignment="0" applyProtection="0"/>
    <xf numFmtId="0" fontId="105" fillId="3" borderId="0" applyNumberFormat="0" applyBorder="0" applyAlignment="0" applyProtection="0"/>
    <xf numFmtId="0" fontId="105" fillId="3" borderId="0" applyNumberFormat="0" applyBorder="0" applyAlignment="0" applyProtection="0"/>
    <xf numFmtId="0" fontId="105" fillId="3" borderId="0" applyNumberFormat="0" applyBorder="0" applyAlignment="0" applyProtection="0"/>
    <xf numFmtId="0" fontId="105" fillId="4" borderId="0" applyNumberFormat="0" applyBorder="0" applyAlignment="0" applyProtection="0"/>
    <xf numFmtId="0" fontId="105" fillId="4" borderId="0" applyNumberFormat="0" applyBorder="0" applyAlignment="0" applyProtection="0"/>
    <xf numFmtId="0" fontId="105" fillId="4" borderId="0" applyNumberFormat="0" applyBorder="0" applyAlignment="0" applyProtection="0"/>
    <xf numFmtId="0" fontId="105" fillId="4" borderId="0" applyNumberFormat="0" applyBorder="0" applyAlignment="0" applyProtection="0"/>
    <xf numFmtId="0" fontId="105" fillId="4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5" borderId="0" applyNumberFormat="0" applyBorder="0" applyAlignment="0" applyProtection="0"/>
    <xf numFmtId="0" fontId="105" fillId="6" borderId="0" applyNumberFormat="0" applyBorder="0" applyAlignment="0" applyProtection="0"/>
    <xf numFmtId="0" fontId="105" fillId="6" borderId="0" applyNumberFormat="0" applyBorder="0" applyAlignment="0" applyProtection="0"/>
    <xf numFmtId="0" fontId="105" fillId="6" borderId="0" applyNumberFormat="0" applyBorder="0" applyAlignment="0" applyProtection="0"/>
    <xf numFmtId="0" fontId="105" fillId="6" borderId="0" applyNumberFormat="0" applyBorder="0" applyAlignment="0" applyProtection="0"/>
    <xf numFmtId="0" fontId="105" fillId="6" borderId="0" applyNumberFormat="0" applyBorder="0" applyAlignment="0" applyProtection="0"/>
    <xf numFmtId="0" fontId="105" fillId="7" borderId="0" applyNumberFormat="0" applyBorder="0" applyAlignment="0" applyProtection="0"/>
    <xf numFmtId="0" fontId="105" fillId="7" borderId="0" applyNumberFormat="0" applyBorder="0" applyAlignment="0" applyProtection="0"/>
    <xf numFmtId="0" fontId="105" fillId="7" borderId="0" applyNumberFormat="0" applyBorder="0" applyAlignment="0" applyProtection="0"/>
    <xf numFmtId="0" fontId="105" fillId="7" borderId="0" applyNumberFormat="0" applyBorder="0" applyAlignment="0" applyProtection="0"/>
    <xf numFmtId="0" fontId="105" fillId="7" borderId="0" applyNumberFormat="0" applyBorder="0" applyAlignment="0" applyProtection="0"/>
    <xf numFmtId="0" fontId="105" fillId="8" borderId="0" applyNumberFormat="0" applyBorder="0" applyAlignment="0" applyProtection="0"/>
    <xf numFmtId="0" fontId="105" fillId="8" borderId="0" applyNumberFormat="0" applyBorder="0" applyAlignment="0" applyProtection="0"/>
    <xf numFmtId="0" fontId="105" fillId="8" borderId="0" applyNumberFormat="0" applyBorder="0" applyAlignment="0" applyProtection="0"/>
    <xf numFmtId="0" fontId="105" fillId="8" borderId="0" applyNumberFormat="0" applyBorder="0" applyAlignment="0" applyProtection="0"/>
    <xf numFmtId="0" fontId="105" fillId="8" borderId="0" applyNumberFormat="0" applyBorder="0" applyAlignment="0" applyProtection="0"/>
    <xf numFmtId="0" fontId="105" fillId="9" borderId="0" applyNumberFormat="0" applyBorder="0" applyAlignment="0" applyProtection="0"/>
    <xf numFmtId="0" fontId="105" fillId="9" borderId="0" applyNumberFormat="0" applyBorder="0" applyAlignment="0" applyProtection="0"/>
    <xf numFmtId="0" fontId="105" fillId="9" borderId="0" applyNumberFormat="0" applyBorder="0" applyAlignment="0" applyProtection="0"/>
    <xf numFmtId="0" fontId="105" fillId="9" borderId="0" applyNumberFormat="0" applyBorder="0" applyAlignment="0" applyProtection="0"/>
    <xf numFmtId="0" fontId="105" fillId="9" borderId="0" applyNumberFormat="0" applyBorder="0" applyAlignment="0" applyProtection="0"/>
    <xf numFmtId="0" fontId="105" fillId="10" borderId="0" applyNumberFormat="0" applyBorder="0" applyAlignment="0" applyProtection="0"/>
    <xf numFmtId="0" fontId="105" fillId="10" borderId="0" applyNumberFormat="0" applyBorder="0" applyAlignment="0" applyProtection="0"/>
    <xf numFmtId="0" fontId="105" fillId="10" borderId="0" applyNumberFormat="0" applyBorder="0" applyAlignment="0" applyProtection="0"/>
    <xf numFmtId="0" fontId="105" fillId="10" borderId="0" applyNumberFormat="0" applyBorder="0" applyAlignment="0" applyProtection="0"/>
    <xf numFmtId="0" fontId="105" fillId="10" borderId="0" applyNumberFormat="0" applyBorder="0" applyAlignment="0" applyProtection="0"/>
    <xf numFmtId="0" fontId="105" fillId="11" borderId="0" applyNumberFormat="0" applyBorder="0" applyAlignment="0" applyProtection="0"/>
    <xf numFmtId="0" fontId="105" fillId="11" borderId="0" applyNumberFormat="0" applyBorder="0" applyAlignment="0" applyProtection="0"/>
    <xf numFmtId="0" fontId="105" fillId="11" borderId="0" applyNumberFormat="0" applyBorder="0" applyAlignment="0" applyProtection="0"/>
    <xf numFmtId="0" fontId="105" fillId="11" borderId="0" applyNumberFormat="0" applyBorder="0" applyAlignment="0" applyProtection="0"/>
    <xf numFmtId="0" fontId="105" fillId="11" borderId="0" applyNumberFormat="0" applyBorder="0" applyAlignment="0" applyProtection="0"/>
    <xf numFmtId="0" fontId="105" fillId="12" borderId="0" applyNumberFormat="0" applyBorder="0" applyAlignment="0" applyProtection="0"/>
    <xf numFmtId="0" fontId="105" fillId="12" borderId="0" applyNumberFormat="0" applyBorder="0" applyAlignment="0" applyProtection="0"/>
    <xf numFmtId="0" fontId="105" fillId="12" borderId="0" applyNumberFormat="0" applyBorder="0" applyAlignment="0" applyProtection="0"/>
    <xf numFmtId="0" fontId="105" fillId="12" borderId="0" applyNumberFormat="0" applyBorder="0" applyAlignment="0" applyProtection="0"/>
    <xf numFmtId="0" fontId="105" fillId="12" borderId="0" applyNumberFormat="0" applyBorder="0" applyAlignment="0" applyProtection="0"/>
    <xf numFmtId="0" fontId="105" fillId="13" borderId="0" applyNumberFormat="0" applyBorder="0" applyAlignment="0" applyProtection="0"/>
    <xf numFmtId="0" fontId="105" fillId="13" borderId="0" applyNumberFormat="0" applyBorder="0" applyAlignment="0" applyProtection="0"/>
    <xf numFmtId="0" fontId="105" fillId="13" borderId="0" applyNumberFormat="0" applyBorder="0" applyAlignment="0" applyProtection="0"/>
    <xf numFmtId="0" fontId="105" fillId="13" borderId="0" applyNumberFormat="0" applyBorder="0" applyAlignment="0" applyProtection="0"/>
    <xf numFmtId="0" fontId="105" fillId="13" borderId="0" applyNumberFormat="0" applyBorder="0" applyAlignment="0" applyProtection="0"/>
    <xf numFmtId="0" fontId="105" fillId="14" borderId="0" applyNumberFormat="0" applyBorder="0" applyAlignment="0" applyProtection="0"/>
    <xf numFmtId="0" fontId="105" fillId="14" borderId="0" applyNumberFormat="0" applyBorder="0" applyAlignment="0" applyProtection="0"/>
    <xf numFmtId="0" fontId="105" fillId="14" borderId="0" applyNumberFormat="0" applyBorder="0" applyAlignment="0" applyProtection="0"/>
    <xf numFmtId="0" fontId="105" fillId="14" borderId="0" applyNumberFormat="0" applyBorder="0" applyAlignment="0" applyProtection="0"/>
    <xf numFmtId="0" fontId="105" fillId="14" borderId="0" applyNumberFormat="0" applyBorder="0" applyAlignment="0" applyProtection="0"/>
    <xf numFmtId="0" fontId="106" fillId="15" borderId="0" applyNumberFormat="0" applyBorder="0" applyAlignment="0" applyProtection="0"/>
    <xf numFmtId="0" fontId="106" fillId="15" borderId="0" applyNumberFormat="0" applyBorder="0" applyAlignment="0" applyProtection="0"/>
    <xf numFmtId="0" fontId="106" fillId="15" borderId="0" applyNumberFormat="0" applyBorder="0" applyAlignment="0" applyProtection="0"/>
    <xf numFmtId="0" fontId="106" fillId="15" borderId="0" applyNumberFormat="0" applyBorder="0" applyAlignment="0" applyProtection="0"/>
    <xf numFmtId="0" fontId="106" fillId="15" borderId="0" applyNumberFormat="0" applyBorder="0" applyAlignment="0" applyProtection="0"/>
    <xf numFmtId="0" fontId="106" fillId="16" borderId="0" applyNumberFormat="0" applyBorder="0" applyAlignment="0" applyProtection="0"/>
    <xf numFmtId="0" fontId="106" fillId="16" borderId="0" applyNumberFormat="0" applyBorder="0" applyAlignment="0" applyProtection="0"/>
    <xf numFmtId="0" fontId="106" fillId="16" borderId="0" applyNumberFormat="0" applyBorder="0" applyAlignment="0" applyProtection="0"/>
    <xf numFmtId="0" fontId="106" fillId="16" borderId="0" applyNumberFormat="0" applyBorder="0" applyAlignment="0" applyProtection="0"/>
    <xf numFmtId="0" fontId="106" fillId="16" borderId="0" applyNumberFormat="0" applyBorder="0" applyAlignment="0" applyProtection="0"/>
    <xf numFmtId="0" fontId="106" fillId="17" borderId="0" applyNumberFormat="0" applyBorder="0" applyAlignment="0" applyProtection="0"/>
    <xf numFmtId="0" fontId="106" fillId="17" borderId="0" applyNumberFormat="0" applyBorder="0" applyAlignment="0" applyProtection="0"/>
    <xf numFmtId="0" fontId="106" fillId="17" borderId="0" applyNumberFormat="0" applyBorder="0" applyAlignment="0" applyProtection="0"/>
    <xf numFmtId="0" fontId="106" fillId="17" borderId="0" applyNumberFormat="0" applyBorder="0" applyAlignment="0" applyProtection="0"/>
    <xf numFmtId="0" fontId="106" fillId="17" borderId="0" applyNumberFormat="0" applyBorder="0" applyAlignment="0" applyProtection="0"/>
    <xf numFmtId="0" fontId="106" fillId="18" borderId="0" applyNumberFormat="0" applyBorder="0" applyAlignment="0" applyProtection="0"/>
    <xf numFmtId="0" fontId="106" fillId="18" borderId="0" applyNumberFormat="0" applyBorder="0" applyAlignment="0" applyProtection="0"/>
    <xf numFmtId="0" fontId="106" fillId="18" borderId="0" applyNumberFormat="0" applyBorder="0" applyAlignment="0" applyProtection="0"/>
    <xf numFmtId="0" fontId="106" fillId="18" borderId="0" applyNumberFormat="0" applyBorder="0" applyAlignment="0" applyProtection="0"/>
    <xf numFmtId="0" fontId="106" fillId="18" borderId="0" applyNumberFormat="0" applyBorder="0" applyAlignment="0" applyProtection="0"/>
    <xf numFmtId="0" fontId="106" fillId="19" borderId="0" applyNumberFormat="0" applyBorder="0" applyAlignment="0" applyProtection="0"/>
    <xf numFmtId="0" fontId="106" fillId="19" borderId="0" applyNumberFormat="0" applyBorder="0" applyAlignment="0" applyProtection="0"/>
    <xf numFmtId="0" fontId="106" fillId="19" borderId="0" applyNumberFormat="0" applyBorder="0" applyAlignment="0" applyProtection="0"/>
    <xf numFmtId="0" fontId="106" fillId="19" borderId="0" applyNumberFormat="0" applyBorder="0" applyAlignment="0" applyProtection="0"/>
    <xf numFmtId="0" fontId="106" fillId="19" borderId="0" applyNumberFormat="0" applyBorder="0" applyAlignment="0" applyProtection="0"/>
    <xf numFmtId="0" fontId="106" fillId="20" borderId="0" applyNumberFormat="0" applyBorder="0" applyAlignment="0" applyProtection="0"/>
    <xf numFmtId="0" fontId="106" fillId="20" borderId="0" applyNumberFormat="0" applyBorder="0" applyAlignment="0" applyProtection="0"/>
    <xf numFmtId="0" fontId="106" fillId="20" borderId="0" applyNumberFormat="0" applyBorder="0" applyAlignment="0" applyProtection="0"/>
    <xf numFmtId="0" fontId="106" fillId="20" borderId="0" applyNumberFormat="0" applyBorder="0" applyAlignment="0" applyProtection="0"/>
    <xf numFmtId="0" fontId="106" fillId="20" borderId="0" applyNumberFormat="0" applyBorder="0" applyAlignment="0" applyProtection="0"/>
    <xf numFmtId="0" fontId="106" fillId="21" borderId="0" applyNumberFormat="0" applyBorder="0" applyAlignment="0" applyProtection="0"/>
    <xf numFmtId="0" fontId="106" fillId="21" borderId="0" applyNumberFormat="0" applyBorder="0" applyAlignment="0" applyProtection="0"/>
    <xf numFmtId="0" fontId="106" fillId="21" borderId="0" applyNumberFormat="0" applyBorder="0" applyAlignment="0" applyProtection="0"/>
    <xf numFmtId="0" fontId="106" fillId="21" borderId="0" applyNumberFormat="0" applyBorder="0" applyAlignment="0" applyProtection="0"/>
    <xf numFmtId="0" fontId="106" fillId="21" borderId="0" applyNumberFormat="0" applyBorder="0" applyAlignment="0" applyProtection="0"/>
    <xf numFmtId="0" fontId="106" fillId="22" borderId="0" applyNumberFormat="0" applyBorder="0" applyAlignment="0" applyProtection="0"/>
    <xf numFmtId="0" fontId="106" fillId="22" borderId="0" applyNumberFormat="0" applyBorder="0" applyAlignment="0" applyProtection="0"/>
    <xf numFmtId="0" fontId="106" fillId="22" borderId="0" applyNumberFormat="0" applyBorder="0" applyAlignment="0" applyProtection="0"/>
    <xf numFmtId="0" fontId="106" fillId="22" borderId="0" applyNumberFormat="0" applyBorder="0" applyAlignment="0" applyProtection="0"/>
    <xf numFmtId="0" fontId="106" fillId="22" borderId="0" applyNumberFormat="0" applyBorder="0" applyAlignment="0" applyProtection="0"/>
    <xf numFmtId="0" fontId="106" fillId="23" borderId="0" applyNumberFormat="0" applyBorder="0" applyAlignment="0" applyProtection="0"/>
    <xf numFmtId="0" fontId="106" fillId="23" borderId="0" applyNumberFormat="0" applyBorder="0" applyAlignment="0" applyProtection="0"/>
    <xf numFmtId="0" fontId="106" fillId="23" borderId="0" applyNumberFormat="0" applyBorder="0" applyAlignment="0" applyProtection="0"/>
    <xf numFmtId="0" fontId="106" fillId="23" borderId="0" applyNumberFormat="0" applyBorder="0" applyAlignment="0" applyProtection="0"/>
    <xf numFmtId="0" fontId="106" fillId="23" borderId="0" applyNumberFormat="0" applyBorder="0" applyAlignment="0" applyProtection="0"/>
    <xf numFmtId="0" fontId="106" fillId="24" borderId="0" applyNumberFormat="0" applyBorder="0" applyAlignment="0" applyProtection="0"/>
    <xf numFmtId="0" fontId="106" fillId="24" borderId="0" applyNumberFormat="0" applyBorder="0" applyAlignment="0" applyProtection="0"/>
    <xf numFmtId="0" fontId="106" fillId="24" borderId="0" applyNumberFormat="0" applyBorder="0" applyAlignment="0" applyProtection="0"/>
    <xf numFmtId="0" fontId="106" fillId="24" borderId="0" applyNumberFormat="0" applyBorder="0" applyAlignment="0" applyProtection="0"/>
    <xf numFmtId="0" fontId="106" fillId="24" borderId="0" applyNumberFormat="0" applyBorder="0" applyAlignment="0" applyProtection="0"/>
    <xf numFmtId="0" fontId="106" fillId="25" borderId="0" applyNumberFormat="0" applyBorder="0" applyAlignment="0" applyProtection="0"/>
    <xf numFmtId="0" fontId="106" fillId="25" borderId="0" applyNumberFormat="0" applyBorder="0" applyAlignment="0" applyProtection="0"/>
    <xf numFmtId="0" fontId="106" fillId="25" borderId="0" applyNumberFormat="0" applyBorder="0" applyAlignment="0" applyProtection="0"/>
    <xf numFmtId="0" fontId="106" fillId="25" borderId="0" applyNumberFormat="0" applyBorder="0" applyAlignment="0" applyProtection="0"/>
    <xf numFmtId="0" fontId="106" fillId="25" borderId="0" applyNumberFormat="0" applyBorder="0" applyAlignment="0" applyProtection="0"/>
    <xf numFmtId="0" fontId="106" fillId="26" borderId="0" applyNumberFormat="0" applyBorder="0" applyAlignment="0" applyProtection="0"/>
    <xf numFmtId="0" fontId="106" fillId="26" borderId="0" applyNumberFormat="0" applyBorder="0" applyAlignment="0" applyProtection="0"/>
    <xf numFmtId="0" fontId="106" fillId="26" borderId="0" applyNumberFormat="0" applyBorder="0" applyAlignment="0" applyProtection="0"/>
    <xf numFmtId="0" fontId="106" fillId="26" borderId="0" applyNumberFormat="0" applyBorder="0" applyAlignment="0" applyProtection="0"/>
    <xf numFmtId="0" fontId="106" fillId="26" borderId="0" applyNumberFormat="0" applyBorder="0" applyAlignment="0" applyProtection="0"/>
    <xf numFmtId="0" fontId="107" fillId="27" borderId="0" applyNumberFormat="0" applyBorder="0" applyAlignment="0" applyProtection="0"/>
    <xf numFmtId="0" fontId="107" fillId="27" borderId="0" applyNumberFormat="0" applyBorder="0" applyAlignment="0" applyProtection="0"/>
    <xf numFmtId="0" fontId="107" fillId="27" borderId="0" applyNumberFormat="0" applyBorder="0" applyAlignment="0" applyProtection="0"/>
    <xf numFmtId="0" fontId="107" fillId="27" borderId="0" applyNumberFormat="0" applyBorder="0" applyAlignment="0" applyProtection="0"/>
    <xf numFmtId="0" fontId="107" fillId="27" borderId="0" applyNumberFormat="0" applyBorder="0" applyAlignment="0" applyProtection="0"/>
    <xf numFmtId="0" fontId="108" fillId="28" borderId="42" applyNumberFormat="0" applyAlignment="0" applyProtection="0"/>
    <xf numFmtId="0" fontId="108" fillId="28" borderId="42" applyNumberFormat="0" applyAlignment="0" applyProtection="0"/>
    <xf numFmtId="0" fontId="108" fillId="28" borderId="42" applyNumberFormat="0" applyAlignment="0" applyProtection="0"/>
    <xf numFmtId="0" fontId="108" fillId="28" borderId="42" applyNumberFormat="0" applyAlignment="0" applyProtection="0"/>
    <xf numFmtId="0" fontId="108" fillId="28" borderId="42" applyNumberFormat="0" applyAlignment="0" applyProtection="0"/>
    <xf numFmtId="0" fontId="109" fillId="29" borderId="43" applyNumberFormat="0" applyAlignment="0" applyProtection="0"/>
    <xf numFmtId="0" fontId="109" fillId="29" borderId="43" applyNumberFormat="0" applyAlignment="0" applyProtection="0"/>
    <xf numFmtId="0" fontId="109" fillId="29" borderId="43" applyNumberFormat="0" applyAlignment="0" applyProtection="0"/>
    <xf numFmtId="0" fontId="109" fillId="29" borderId="43" applyNumberFormat="0" applyAlignment="0" applyProtection="0"/>
    <xf numFmtId="0" fontId="109" fillId="29" borderId="43" applyNumberFormat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0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1" fillId="0" borderId="0" applyNumberFormat="0" applyFill="0" applyBorder="0" applyAlignment="0" applyProtection="0"/>
    <xf numFmtId="0" fontId="112" fillId="30" borderId="0" applyNumberFormat="0" applyBorder="0" applyAlignment="0" applyProtection="0"/>
    <xf numFmtId="0" fontId="112" fillId="30" borderId="0" applyNumberFormat="0" applyBorder="0" applyAlignment="0" applyProtection="0"/>
    <xf numFmtId="0" fontId="112" fillId="30" borderId="0" applyNumberFormat="0" applyBorder="0" applyAlignment="0" applyProtection="0"/>
    <xf numFmtId="0" fontId="112" fillId="30" borderId="0" applyNumberFormat="0" applyBorder="0" applyAlignment="0" applyProtection="0"/>
    <xf numFmtId="0" fontId="112" fillId="30" borderId="0" applyNumberFormat="0" applyBorder="0" applyAlignment="0" applyProtection="0"/>
    <xf numFmtId="0" fontId="113" fillId="0" borderId="44" applyNumberFormat="0" applyFill="0" applyAlignment="0" applyProtection="0"/>
    <xf numFmtId="0" fontId="113" fillId="0" borderId="44" applyNumberFormat="0" applyFill="0" applyAlignment="0" applyProtection="0"/>
    <xf numFmtId="0" fontId="113" fillId="0" borderId="44" applyNumberFormat="0" applyFill="0" applyAlignment="0" applyProtection="0"/>
    <xf numFmtId="0" fontId="113" fillId="0" borderId="44" applyNumberFormat="0" applyFill="0" applyAlignment="0" applyProtection="0"/>
    <xf numFmtId="0" fontId="113" fillId="0" borderId="44" applyNumberFormat="0" applyFill="0" applyAlignment="0" applyProtection="0"/>
    <xf numFmtId="0" fontId="114" fillId="0" borderId="45" applyNumberFormat="0" applyFill="0" applyAlignment="0" applyProtection="0"/>
    <xf numFmtId="0" fontId="114" fillId="0" borderId="45" applyNumberFormat="0" applyFill="0" applyAlignment="0" applyProtection="0"/>
    <xf numFmtId="0" fontId="114" fillId="0" borderId="45" applyNumberFormat="0" applyFill="0" applyAlignment="0" applyProtection="0"/>
    <xf numFmtId="0" fontId="114" fillId="0" borderId="45" applyNumberFormat="0" applyFill="0" applyAlignment="0" applyProtection="0"/>
    <xf numFmtId="0" fontId="114" fillId="0" borderId="45" applyNumberFormat="0" applyFill="0" applyAlignment="0" applyProtection="0"/>
    <xf numFmtId="0" fontId="115" fillId="0" borderId="46" applyNumberFormat="0" applyFill="0" applyAlignment="0" applyProtection="0"/>
    <xf numFmtId="0" fontId="115" fillId="0" borderId="46" applyNumberFormat="0" applyFill="0" applyAlignment="0" applyProtection="0"/>
    <xf numFmtId="0" fontId="115" fillId="0" borderId="46" applyNumberFormat="0" applyFill="0" applyAlignment="0" applyProtection="0"/>
    <xf numFmtId="0" fontId="115" fillId="0" borderId="46" applyNumberFormat="0" applyFill="0" applyAlignment="0" applyProtection="0"/>
    <xf numFmtId="0" fontId="115" fillId="0" borderId="46" applyNumberFormat="0" applyFill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11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117" fillId="31" borderId="42" applyNumberFormat="0" applyAlignment="0" applyProtection="0"/>
    <xf numFmtId="0" fontId="117" fillId="31" borderId="42" applyNumberFormat="0" applyAlignment="0" applyProtection="0"/>
    <xf numFmtId="0" fontId="117" fillId="31" borderId="42" applyNumberFormat="0" applyAlignment="0" applyProtection="0"/>
    <xf numFmtId="0" fontId="117" fillId="31" borderId="42" applyNumberFormat="0" applyAlignment="0" applyProtection="0"/>
    <xf numFmtId="0" fontId="117" fillId="31" borderId="42" applyNumberFormat="0" applyAlignment="0" applyProtection="0"/>
    <xf numFmtId="0" fontId="118" fillId="0" borderId="47" applyNumberFormat="0" applyFill="0" applyAlignment="0" applyProtection="0"/>
    <xf numFmtId="0" fontId="118" fillId="0" borderId="47" applyNumberFormat="0" applyFill="0" applyAlignment="0" applyProtection="0"/>
    <xf numFmtId="0" fontId="118" fillId="0" borderId="47" applyNumberFormat="0" applyFill="0" applyAlignment="0" applyProtection="0"/>
    <xf numFmtId="0" fontId="118" fillId="0" borderId="47" applyNumberFormat="0" applyFill="0" applyAlignment="0" applyProtection="0"/>
    <xf numFmtId="0" fontId="118" fillId="0" borderId="47" applyNumberFormat="0" applyFill="0" applyAlignment="0" applyProtection="0"/>
    <xf numFmtId="0" fontId="119" fillId="32" borderId="0" applyNumberFormat="0" applyBorder="0" applyAlignment="0" applyProtection="0"/>
    <xf numFmtId="0" fontId="119" fillId="32" borderId="0" applyNumberFormat="0" applyBorder="0" applyAlignment="0" applyProtection="0"/>
    <xf numFmtId="0" fontId="119" fillId="32" borderId="0" applyNumberFormat="0" applyBorder="0" applyAlignment="0" applyProtection="0"/>
    <xf numFmtId="0" fontId="119" fillId="32" borderId="0" applyNumberFormat="0" applyBorder="0" applyAlignment="0" applyProtection="0"/>
    <xf numFmtId="0" fontId="119" fillId="32" borderId="0" applyNumberFormat="0" applyBorder="0" applyAlignment="0" applyProtection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4" fillId="0" borderId="0"/>
    <xf numFmtId="0" fontId="104" fillId="0" borderId="0"/>
    <xf numFmtId="0" fontId="104" fillId="0" borderId="0"/>
    <xf numFmtId="0" fontId="104" fillId="0" borderId="0"/>
    <xf numFmtId="0" fontId="104" fillId="0" borderId="0"/>
    <xf numFmtId="0" fontId="105" fillId="33" borderId="48" applyNumberFormat="0" applyFont="0" applyAlignment="0" applyProtection="0"/>
    <xf numFmtId="0" fontId="105" fillId="33" borderId="48" applyNumberFormat="0" applyFont="0" applyAlignment="0" applyProtection="0"/>
    <xf numFmtId="0" fontId="105" fillId="33" borderId="48" applyNumberFormat="0" applyFont="0" applyAlignment="0" applyProtection="0"/>
    <xf numFmtId="0" fontId="105" fillId="33" borderId="48" applyNumberFormat="0" applyFont="0" applyAlignment="0" applyProtection="0"/>
    <xf numFmtId="0" fontId="105" fillId="33" borderId="48" applyNumberFormat="0" applyFont="0" applyAlignment="0" applyProtection="0"/>
    <xf numFmtId="0" fontId="120" fillId="28" borderId="49" applyNumberFormat="0" applyAlignment="0" applyProtection="0"/>
    <xf numFmtId="0" fontId="120" fillId="28" borderId="49" applyNumberFormat="0" applyAlignment="0" applyProtection="0"/>
    <xf numFmtId="0" fontId="120" fillId="28" borderId="49" applyNumberFormat="0" applyAlignment="0" applyProtection="0"/>
    <xf numFmtId="0" fontId="120" fillId="28" borderId="49" applyNumberFormat="0" applyAlignment="0" applyProtection="0"/>
    <xf numFmtId="0" fontId="120" fillId="28" borderId="49" applyNumberFormat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1" fillId="0" borderId="0" applyNumberFormat="0" applyFill="0" applyBorder="0" applyAlignment="0" applyProtection="0"/>
    <xf numFmtId="0" fontId="122" fillId="0" borderId="50" applyNumberFormat="0" applyFill="0" applyAlignment="0" applyProtection="0"/>
    <xf numFmtId="0" fontId="122" fillId="0" borderId="50" applyNumberFormat="0" applyFill="0" applyAlignment="0" applyProtection="0"/>
    <xf numFmtId="0" fontId="122" fillId="0" borderId="50" applyNumberFormat="0" applyFill="0" applyAlignment="0" applyProtection="0"/>
    <xf numFmtId="0" fontId="122" fillId="0" borderId="50" applyNumberFormat="0" applyFill="0" applyAlignment="0" applyProtection="0"/>
    <xf numFmtId="0" fontId="122" fillId="0" borderId="50" applyNumberFormat="0" applyFill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</cellStyleXfs>
  <cellXfs count="2194">
    <xf numFmtId="0" fontId="0" fillId="0" borderId="0" xfId="0"/>
    <xf numFmtId="0" fontId="3" fillId="0" borderId="0" xfId="0" applyFont="1"/>
    <xf numFmtId="0" fontId="6" fillId="0" borderId="0" xfId="0" applyFont="1"/>
    <xf numFmtId="0" fontId="10" fillId="0" borderId="0" xfId="0" applyFont="1"/>
    <xf numFmtId="0" fontId="11" fillId="0" borderId="0" xfId="0" applyFont="1"/>
    <xf numFmtId="0" fontId="8" fillId="0" borderId="0" xfId="0" applyFont="1"/>
    <xf numFmtId="2" fontId="13" fillId="0" borderId="0" xfId="0" applyNumberFormat="1" applyFont="1" applyBorder="1"/>
    <xf numFmtId="0" fontId="14" fillId="0" borderId="0" xfId="0" applyFont="1" applyBorder="1" applyAlignment="1"/>
    <xf numFmtId="0" fontId="14" fillId="0" borderId="0" xfId="0" applyFont="1" applyBorder="1" applyAlignment="1">
      <alignment horizontal="left"/>
    </xf>
    <xf numFmtId="0" fontId="13" fillId="0" borderId="0" xfId="0" applyFont="1" applyAlignment="1"/>
    <xf numFmtId="0" fontId="14" fillId="0" borderId="0" xfId="0" applyFont="1"/>
    <xf numFmtId="0" fontId="14" fillId="0" borderId="0" xfId="0" applyFont="1" applyBorder="1"/>
    <xf numFmtId="0" fontId="12" fillId="0" borderId="0" xfId="0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2" fillId="0" borderId="0" xfId="0" applyFont="1" applyAlignment="1">
      <alignment wrapText="1"/>
    </xf>
    <xf numFmtId="0" fontId="15" fillId="0" borderId="1" xfId="0" applyFont="1" applyBorder="1" applyAlignment="1">
      <alignment wrapText="1"/>
    </xf>
    <xf numFmtId="0" fontId="22" fillId="0" borderId="0" xfId="0" applyFont="1"/>
    <xf numFmtId="0" fontId="26" fillId="0" borderId="0" xfId="0" applyFont="1" applyAlignment="1">
      <alignment horizontal="left" wrapText="1"/>
    </xf>
    <xf numFmtId="0" fontId="24" fillId="0" borderId="0" xfId="0" applyFont="1"/>
    <xf numFmtId="2" fontId="12" fillId="0" borderId="0" xfId="0" applyNumberFormat="1" applyFont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center" wrapText="1"/>
    </xf>
    <xf numFmtId="2" fontId="14" fillId="0" borderId="0" xfId="0" applyNumberFormat="1" applyFont="1" applyBorder="1" applyAlignment="1">
      <alignment horizontal="center"/>
    </xf>
    <xf numFmtId="0" fontId="14" fillId="0" borderId="0" xfId="0" applyFont="1" applyBorder="1" applyAlignment="1">
      <alignment horizontal="left" wrapText="1"/>
    </xf>
    <xf numFmtId="0" fontId="14" fillId="0" borderId="0" xfId="0" applyFont="1" applyBorder="1" applyAlignment="1">
      <alignment wrapText="1"/>
    </xf>
    <xf numFmtId="0" fontId="12" fillId="0" borderId="0" xfId="0" applyFont="1"/>
    <xf numFmtId="0" fontId="14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5" fillId="0" borderId="2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0" xfId="0" applyFont="1"/>
    <xf numFmtId="0" fontId="28" fillId="0" borderId="0" xfId="0" applyFont="1" applyBorder="1" applyAlignment="1">
      <alignment horizontal="center" wrapText="1"/>
    </xf>
    <xf numFmtId="0" fontId="30" fillId="0" borderId="0" xfId="0" applyFont="1"/>
    <xf numFmtId="0" fontId="31" fillId="0" borderId="0" xfId="0" applyFont="1"/>
    <xf numFmtId="0" fontId="30" fillId="0" borderId="0" xfId="0" applyFont="1" applyAlignment="1">
      <alignment wrapText="1"/>
    </xf>
    <xf numFmtId="164" fontId="14" fillId="0" borderId="0" xfId="0" applyNumberFormat="1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2" fillId="0" borderId="0" xfId="0" applyFont="1" applyBorder="1" applyAlignment="1">
      <alignment horizontal="center" wrapText="1"/>
    </xf>
    <xf numFmtId="2" fontId="14" fillId="0" borderId="0" xfId="0" applyNumberFormat="1" applyFont="1" applyAlignment="1">
      <alignment horizontal="center"/>
    </xf>
    <xf numFmtId="164" fontId="14" fillId="0" borderId="0" xfId="0" applyNumberFormat="1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4" fillId="0" borderId="0" xfId="0" applyFont="1" applyFill="1" applyBorder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1" fontId="14" fillId="0" borderId="0" xfId="0" applyNumberFormat="1" applyFont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26" fillId="0" borderId="0" xfId="0" applyFont="1"/>
    <xf numFmtId="0" fontId="13" fillId="0" borderId="0" xfId="0" applyFont="1"/>
    <xf numFmtId="0" fontId="18" fillId="0" borderId="0" xfId="0" applyFont="1" applyBorder="1" applyAlignment="1">
      <alignment wrapText="1"/>
    </xf>
    <xf numFmtId="0" fontId="14" fillId="0" borderId="0" xfId="0" applyFont="1" applyBorder="1" applyAlignment="1">
      <alignment horizontal="center" wrapText="1"/>
    </xf>
    <xf numFmtId="0" fontId="33" fillId="0" borderId="0" xfId="0" applyFont="1"/>
    <xf numFmtId="0" fontId="33" fillId="0" borderId="0" xfId="0" applyFont="1" applyBorder="1"/>
    <xf numFmtId="0" fontId="14" fillId="0" borderId="2" xfId="0" applyFont="1" applyBorder="1" applyAlignment="1">
      <alignment horizontal="center"/>
    </xf>
    <xf numFmtId="0" fontId="14" fillId="0" borderId="0" xfId="0" applyFont="1" applyBorder="1" applyAlignment="1">
      <alignment horizontal="right"/>
    </xf>
    <xf numFmtId="0" fontId="34" fillId="0" borderId="0" xfId="0" applyFont="1" applyAlignment="1"/>
    <xf numFmtId="0" fontId="34" fillId="0" borderId="0" xfId="0" applyFont="1"/>
    <xf numFmtId="164" fontId="14" fillId="0" borderId="0" xfId="0" applyNumberFormat="1" applyFont="1"/>
    <xf numFmtId="0" fontId="29" fillId="0" borderId="0" xfId="0" applyFont="1"/>
    <xf numFmtId="0" fontId="29" fillId="0" borderId="0" xfId="0" applyFont="1" applyAlignment="1">
      <alignment horizontal="center" vertical="center"/>
    </xf>
    <xf numFmtId="0" fontId="18" fillId="0" borderId="0" xfId="0" applyFont="1" applyBorder="1" applyAlignment="1">
      <alignment horizontal="left" wrapText="1"/>
    </xf>
    <xf numFmtId="0" fontId="20" fillId="0" borderId="0" xfId="0" applyFont="1" applyBorder="1" applyAlignment="1">
      <alignment horizontal="left"/>
    </xf>
    <xf numFmtId="0" fontId="14" fillId="0" borderId="0" xfId="0" applyFont="1" applyAlignment="1">
      <alignment horizontal="left"/>
    </xf>
    <xf numFmtId="0" fontId="14" fillId="0" borderId="0" xfId="0" applyFont="1" applyBorder="1" applyAlignment="1">
      <alignment horizontal="right" wrapText="1"/>
    </xf>
    <xf numFmtId="0" fontId="34" fillId="0" borderId="0" xfId="0" applyFont="1" applyBorder="1"/>
    <xf numFmtId="49" fontId="34" fillId="0" borderId="0" xfId="0" applyNumberFormat="1" applyFont="1"/>
    <xf numFmtId="49" fontId="34" fillId="0" borderId="0" xfId="0" applyNumberFormat="1" applyFont="1" applyAlignment="1"/>
    <xf numFmtId="0" fontId="12" fillId="0" borderId="0" xfId="0" applyFont="1" applyBorder="1"/>
    <xf numFmtId="0" fontId="14" fillId="0" borderId="0" xfId="0" applyFont="1" applyAlignment="1">
      <alignment horizontal="right" wrapText="1"/>
    </xf>
    <xf numFmtId="0" fontId="29" fillId="0" borderId="5" xfId="0" applyFont="1" applyBorder="1" applyAlignment="1">
      <alignment horizontal="center" vertical="center" wrapText="1"/>
    </xf>
    <xf numFmtId="0" fontId="29" fillId="0" borderId="5" xfId="0" applyFont="1" applyBorder="1" applyAlignment="1">
      <alignment wrapText="1"/>
    </xf>
    <xf numFmtId="0" fontId="29" fillId="0" borderId="6" xfId="0" applyFont="1" applyBorder="1" applyAlignment="1">
      <alignment wrapText="1"/>
    </xf>
    <xf numFmtId="0" fontId="22" fillId="0" borderId="2" xfId="0" applyFont="1" applyBorder="1" applyAlignment="1">
      <alignment horizontal="center" wrapText="1"/>
    </xf>
    <xf numFmtId="0" fontId="14" fillId="0" borderId="0" xfId="0" applyFont="1" applyBorder="1" applyAlignment="1">
      <alignment horizontal="justify" wrapText="1"/>
    </xf>
    <xf numFmtId="0" fontId="37" fillId="0" borderId="0" xfId="0" applyFont="1" applyBorder="1" applyAlignment="1">
      <alignment wrapText="1"/>
    </xf>
    <xf numFmtId="0" fontId="34" fillId="0" borderId="0" xfId="0" applyFont="1" applyBorder="1" applyAlignment="1">
      <alignment wrapText="1"/>
    </xf>
    <xf numFmtId="0" fontId="22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49" fontId="14" fillId="0" borderId="0" xfId="0" applyNumberFormat="1" applyFont="1" applyBorder="1" applyAlignment="1">
      <alignment horizontal="center"/>
    </xf>
    <xf numFmtId="0" fontId="29" fillId="0" borderId="0" xfId="0" applyFont="1" applyAlignment="1">
      <alignment vertical="center"/>
    </xf>
    <xf numFmtId="0" fontId="22" fillId="0" borderId="0" xfId="0" applyFont="1" applyBorder="1" applyAlignment="1">
      <alignment wrapText="1"/>
    </xf>
    <xf numFmtId="49" fontId="14" fillId="0" borderId="0" xfId="0" applyNumberFormat="1" applyFont="1"/>
    <xf numFmtId="0" fontId="30" fillId="0" borderId="0" xfId="0" applyFont="1" applyBorder="1" applyAlignment="1">
      <alignment wrapText="1"/>
    </xf>
    <xf numFmtId="0" fontId="13" fillId="0" borderId="0" xfId="0" applyFont="1" applyBorder="1" applyAlignment="1">
      <alignment horizontal="center"/>
    </xf>
    <xf numFmtId="0" fontId="18" fillId="0" borderId="0" xfId="0" applyFont="1" applyBorder="1"/>
    <xf numFmtId="0" fontId="19" fillId="0" borderId="2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6" fillId="0" borderId="0" xfId="0" applyFont="1" applyBorder="1"/>
    <xf numFmtId="0" fontId="13" fillId="0" borderId="0" xfId="0" applyFont="1" applyBorder="1" applyAlignment="1"/>
    <xf numFmtId="164" fontId="14" fillId="0" borderId="0" xfId="0" applyNumberFormat="1" applyFont="1" applyFill="1" applyBorder="1" applyAlignment="1">
      <alignment horizontal="center"/>
    </xf>
    <xf numFmtId="0" fontId="29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20" fillId="0" borderId="0" xfId="0" applyFont="1" applyBorder="1" applyAlignment="1">
      <alignment horizontal="right" wrapText="1"/>
    </xf>
    <xf numFmtId="0" fontId="20" fillId="0" borderId="0" xfId="0" applyFont="1" applyBorder="1" applyAlignment="1">
      <alignment wrapText="1"/>
    </xf>
    <xf numFmtId="0" fontId="29" fillId="0" borderId="0" xfId="0" applyFont="1" applyBorder="1"/>
    <xf numFmtId="0" fontId="18" fillId="0" borderId="2" xfId="0" applyFont="1" applyBorder="1" applyAlignment="1">
      <alignment horizontal="center" vertical="center" wrapText="1"/>
    </xf>
    <xf numFmtId="0" fontId="30" fillId="0" borderId="0" xfId="0" applyFont="1" applyBorder="1" applyAlignment="1"/>
    <xf numFmtId="0" fontId="28" fillId="0" borderId="0" xfId="0" applyFont="1" applyBorder="1" applyAlignment="1">
      <alignment horizontal="center"/>
    </xf>
    <xf numFmtId="0" fontId="28" fillId="0" borderId="0" xfId="0" applyFont="1" applyBorder="1" applyAlignment="1"/>
    <xf numFmtId="0" fontId="15" fillId="0" borderId="0" xfId="0" applyFont="1" applyBorder="1"/>
    <xf numFmtId="0" fontId="12" fillId="0" borderId="0" xfId="0" applyFont="1" applyBorder="1" applyAlignment="1">
      <alignment horizontal="left"/>
    </xf>
    <xf numFmtId="0" fontId="18" fillId="0" borderId="0" xfId="0" applyFont="1" applyAlignment="1">
      <alignment vertical="center"/>
    </xf>
    <xf numFmtId="0" fontId="18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/>
    <xf numFmtId="0" fontId="18" fillId="0" borderId="0" xfId="0" applyFont="1"/>
    <xf numFmtId="0" fontId="19" fillId="0" borderId="0" xfId="0" applyFont="1" applyAlignment="1">
      <alignment horizontal="center" vertical="center"/>
    </xf>
    <xf numFmtId="0" fontId="19" fillId="0" borderId="8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/>
    </xf>
    <xf numFmtId="0" fontId="12" fillId="0" borderId="0" xfId="0" applyFont="1" applyBorder="1" applyAlignment="1">
      <alignment horizontal="right" wrapText="1"/>
    </xf>
    <xf numFmtId="0" fontId="6" fillId="0" borderId="0" xfId="0" applyFont="1" applyBorder="1"/>
    <xf numFmtId="0" fontId="6" fillId="0" borderId="0" xfId="0" applyFont="1" applyBorder="1" applyAlignment="1">
      <alignment horizontal="left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/>
    </xf>
    <xf numFmtId="0" fontId="28" fillId="0" borderId="0" xfId="0" applyFont="1" applyBorder="1" applyAlignment="1">
      <alignment wrapText="1"/>
    </xf>
    <xf numFmtId="0" fontId="28" fillId="0" borderId="0" xfId="0" applyFont="1" applyAlignment="1">
      <alignment wrapText="1"/>
    </xf>
    <xf numFmtId="0" fontId="12" fillId="0" borderId="1" xfId="0" applyFont="1" applyBorder="1" applyAlignment="1">
      <alignment horizontal="right" wrapText="1"/>
    </xf>
    <xf numFmtId="0" fontId="9" fillId="0" borderId="0" xfId="0" applyFont="1" applyAlignment="1">
      <alignment horizontal="center" vertical="center"/>
    </xf>
    <xf numFmtId="0" fontId="40" fillId="0" borderId="0" xfId="0" applyFont="1"/>
    <xf numFmtId="0" fontId="13" fillId="0" borderId="0" xfId="0" applyFont="1" applyBorder="1" applyAlignment="1">
      <alignment horizontal="left"/>
    </xf>
    <xf numFmtId="0" fontId="16" fillId="0" borderId="0" xfId="0" applyFont="1" applyBorder="1" applyAlignment="1">
      <alignment wrapText="1"/>
    </xf>
    <xf numFmtId="0" fontId="12" fillId="0" borderId="0" xfId="0" applyFont="1" applyAlignment="1">
      <alignment vertical="center"/>
    </xf>
    <xf numFmtId="0" fontId="15" fillId="0" borderId="0" xfId="0" applyFont="1" applyBorder="1" applyAlignment="1">
      <alignment horizontal="left" wrapText="1"/>
    </xf>
    <xf numFmtId="0" fontId="15" fillId="0" borderId="0" xfId="0" applyFont="1" applyBorder="1" applyAlignment="1">
      <alignment vertical="center"/>
    </xf>
    <xf numFmtId="0" fontId="16" fillId="0" borderId="0" xfId="0" applyFont="1"/>
    <xf numFmtId="0" fontId="29" fillId="0" borderId="2" xfId="0" applyFont="1" applyFill="1" applyBorder="1" applyAlignment="1">
      <alignment horizontal="center" vertical="center" wrapText="1"/>
    </xf>
    <xf numFmtId="0" fontId="41" fillId="0" borderId="0" xfId="0" applyFont="1"/>
    <xf numFmtId="0" fontId="13" fillId="0" borderId="0" xfId="0" applyFont="1" applyAlignment="1">
      <alignment horizontal="center"/>
    </xf>
    <xf numFmtId="0" fontId="18" fillId="0" borderId="0" xfId="0" applyFont="1" applyAlignment="1">
      <alignment wrapText="1"/>
    </xf>
    <xf numFmtId="0" fontId="12" fillId="0" borderId="2" xfId="0" applyFont="1" applyBorder="1" applyAlignment="1">
      <alignment wrapText="1"/>
    </xf>
    <xf numFmtId="0" fontId="12" fillId="0" borderId="2" xfId="0" applyFont="1" applyBorder="1" applyAlignment="1">
      <alignment horizontal="center" wrapText="1"/>
    </xf>
    <xf numFmtId="2" fontId="14" fillId="0" borderId="0" xfId="0" applyNumberFormat="1" applyFont="1"/>
    <xf numFmtId="0" fontId="8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5" fillId="0" borderId="0" xfId="0" applyFont="1" applyAlignment="1">
      <alignment horizontal="center" vertical="center"/>
    </xf>
    <xf numFmtId="0" fontId="6" fillId="0" borderId="1" xfId="0" applyFont="1" applyBorder="1" applyAlignment="1">
      <alignment wrapText="1"/>
    </xf>
    <xf numFmtId="0" fontId="12" fillId="0" borderId="0" xfId="0" applyFont="1" applyBorder="1" applyAlignment="1"/>
    <xf numFmtId="49" fontId="14" fillId="0" borderId="0" xfId="0" applyNumberFormat="1" applyFont="1" applyBorder="1"/>
    <xf numFmtId="0" fontId="15" fillId="0" borderId="7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15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wrapText="1"/>
    </xf>
    <xf numFmtId="0" fontId="16" fillId="0" borderId="0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27" fillId="0" borderId="1" xfId="0" applyFont="1" applyBorder="1" applyAlignment="1">
      <alignment horizontal="center"/>
    </xf>
    <xf numFmtId="0" fontId="16" fillId="0" borderId="0" xfId="0" applyFont="1" applyAlignment="1">
      <alignment wrapText="1"/>
    </xf>
    <xf numFmtId="49" fontId="29" fillId="0" borderId="0" xfId="0" applyNumberFormat="1" applyFont="1" applyAlignment="1">
      <alignment horizontal="left"/>
    </xf>
    <xf numFmtId="0" fontId="6" fillId="0" borderId="0" xfId="0" applyFont="1" applyAlignment="1">
      <alignment horizontal="center"/>
    </xf>
    <xf numFmtId="0" fontId="14" fillId="0" borderId="1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wrapText="1"/>
    </xf>
    <xf numFmtId="0" fontId="14" fillId="0" borderId="0" xfId="0" applyFont="1" applyAlignment="1">
      <alignment horizontal="center" wrapText="1"/>
    </xf>
    <xf numFmtId="0" fontId="14" fillId="0" borderId="0" xfId="0" applyFont="1" applyAlignment="1">
      <alignment vertical="center"/>
    </xf>
    <xf numFmtId="49" fontId="13" fillId="0" borderId="0" xfId="0" applyNumberFormat="1" applyFont="1" applyBorder="1" applyAlignment="1">
      <alignment horizontal="center"/>
    </xf>
    <xf numFmtId="2" fontId="13" fillId="0" borderId="0" xfId="0" applyNumberFormat="1" applyFont="1" applyBorder="1" applyAlignment="1">
      <alignment horizontal="center"/>
    </xf>
    <xf numFmtId="0" fontId="37" fillId="0" borderId="2" xfId="0" applyFont="1" applyBorder="1" applyAlignment="1">
      <alignment horizontal="center" vertical="center" wrapText="1"/>
    </xf>
    <xf numFmtId="0" fontId="22" fillId="0" borderId="0" xfId="0" applyFont="1" applyAlignment="1">
      <alignment vertical="center"/>
    </xf>
    <xf numFmtId="49" fontId="6" fillId="0" borderId="0" xfId="0" applyNumberFormat="1" applyFont="1" applyBorder="1" applyAlignment="1">
      <alignment horizontal="left" vertical="center" wrapText="1"/>
    </xf>
    <xf numFmtId="49" fontId="13" fillId="0" borderId="0" xfId="0" applyNumberFormat="1" applyFont="1" applyAlignment="1">
      <alignment horizontal="center"/>
    </xf>
    <xf numFmtId="2" fontId="13" fillId="0" borderId="0" xfId="0" applyNumberFormat="1" applyFont="1" applyAlignment="1">
      <alignment horizontal="center"/>
    </xf>
    <xf numFmtId="2" fontId="13" fillId="0" borderId="0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left"/>
    </xf>
    <xf numFmtId="0" fontId="46" fillId="0" borderId="0" xfId="0" applyFont="1"/>
    <xf numFmtId="0" fontId="29" fillId="0" borderId="0" xfId="0" applyFont="1" applyAlignment="1">
      <alignment wrapText="1"/>
    </xf>
    <xf numFmtId="168" fontId="12" fillId="0" borderId="0" xfId="0" applyNumberFormat="1" applyFont="1" applyBorder="1" applyAlignment="1">
      <alignment horizontal="center" wrapText="1"/>
    </xf>
    <xf numFmtId="168" fontId="14" fillId="0" borderId="0" xfId="0" applyNumberFormat="1" applyFont="1" applyAlignment="1">
      <alignment horizontal="center"/>
    </xf>
    <xf numFmtId="0" fontId="12" fillId="0" borderId="0" xfId="0" applyFont="1" applyAlignment="1">
      <alignment horizontal="right"/>
    </xf>
    <xf numFmtId="0" fontId="8" fillId="0" borderId="0" xfId="0" applyFont="1" applyAlignment="1">
      <alignment vertical="center"/>
    </xf>
    <xf numFmtId="0" fontId="15" fillId="0" borderId="1" xfId="0" applyFont="1" applyBorder="1" applyAlignment="1">
      <alignment vertical="top" wrapText="1"/>
    </xf>
    <xf numFmtId="2" fontId="18" fillId="0" borderId="0" xfId="0" applyNumberFormat="1" applyFont="1" applyBorder="1" applyAlignment="1">
      <alignment horizontal="center" wrapText="1"/>
    </xf>
    <xf numFmtId="0" fontId="17" fillId="0" borderId="0" xfId="0" applyFont="1" applyBorder="1" applyAlignment="1">
      <alignment horizontal="center" wrapText="1"/>
    </xf>
    <xf numFmtId="0" fontId="17" fillId="0" borderId="0" xfId="0" applyFont="1" applyBorder="1" applyAlignment="1">
      <alignment horizontal="right" wrapText="1"/>
    </xf>
    <xf numFmtId="0" fontId="34" fillId="0" borderId="0" xfId="0" applyFont="1" applyAlignment="1">
      <alignment horizontal="center"/>
    </xf>
    <xf numFmtId="2" fontId="17" fillId="0" borderId="0" xfId="0" applyNumberFormat="1" applyFont="1" applyBorder="1" applyAlignment="1">
      <alignment horizontal="center" wrapText="1"/>
    </xf>
    <xf numFmtId="0" fontId="9" fillId="0" borderId="1" xfId="0" applyFont="1" applyBorder="1" applyAlignment="1">
      <alignment horizontal="right" wrapText="1"/>
    </xf>
    <xf numFmtId="0" fontId="9" fillId="0" borderId="1" xfId="0" applyFont="1" applyBorder="1" applyAlignment="1">
      <alignment horizontal="center" wrapText="1"/>
    </xf>
    <xf numFmtId="0" fontId="12" fillId="0" borderId="0" xfId="0" applyFont="1" applyAlignment="1">
      <alignment horizontal="center"/>
    </xf>
    <xf numFmtId="0" fontId="28" fillId="0" borderId="0" xfId="0" applyFont="1" applyAlignment="1">
      <alignment horizontal="center" vertical="center"/>
    </xf>
    <xf numFmtId="0" fontId="22" fillId="0" borderId="0" xfId="0" applyFont="1" applyBorder="1" applyAlignment="1">
      <alignment horizontal="center" wrapText="1"/>
    </xf>
    <xf numFmtId="2" fontId="13" fillId="0" borderId="0" xfId="0" applyNumberFormat="1" applyFont="1" applyBorder="1" applyAlignment="1">
      <alignment horizontal="center" wrapText="1"/>
    </xf>
    <xf numFmtId="2" fontId="37" fillId="0" borderId="0" xfId="0" applyNumberFormat="1" applyFont="1" applyBorder="1" applyAlignment="1">
      <alignment horizontal="center" wrapText="1"/>
    </xf>
    <xf numFmtId="0" fontId="14" fillId="0" borderId="0" xfId="0" applyFont="1" applyAlignment="1">
      <alignment horizontal="right"/>
    </xf>
    <xf numFmtId="0" fontId="19" fillId="0" borderId="0" xfId="0" applyFont="1" applyBorder="1" applyAlignment="1">
      <alignment horizontal="left" wrapText="1"/>
    </xf>
    <xf numFmtId="0" fontId="8" fillId="0" borderId="1" xfId="0" applyFont="1" applyBorder="1" applyAlignment="1"/>
    <xf numFmtId="0" fontId="15" fillId="0" borderId="8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top" wrapText="1"/>
    </xf>
    <xf numFmtId="2" fontId="12" fillId="0" borderId="0" xfId="0" applyNumberFormat="1" applyFont="1" applyBorder="1" applyAlignment="1">
      <alignment horizontal="center" vertical="top" wrapText="1"/>
    </xf>
    <xf numFmtId="0" fontId="12" fillId="0" borderId="0" xfId="0" applyFont="1" applyBorder="1" applyAlignment="1">
      <alignment vertical="top" wrapText="1"/>
    </xf>
    <xf numFmtId="0" fontId="48" fillId="0" borderId="0" xfId="0" applyFont="1" applyBorder="1" applyAlignment="1">
      <alignment wrapText="1"/>
    </xf>
    <xf numFmtId="0" fontId="12" fillId="0" borderId="0" xfId="0" applyFont="1" applyBorder="1" applyAlignment="1">
      <alignment horizontal="center" vertical="top" wrapText="1"/>
    </xf>
    <xf numFmtId="0" fontId="16" fillId="0" borderId="0" xfId="0" applyFont="1" applyBorder="1" applyAlignment="1"/>
    <xf numFmtId="0" fontId="18" fillId="0" borderId="0" xfId="0" applyFont="1" applyBorder="1" applyAlignment="1">
      <alignment horizontal="center" vertical="top" wrapText="1"/>
    </xf>
    <xf numFmtId="0" fontId="12" fillId="0" borderId="0" xfId="0" applyFont="1" applyAlignment="1"/>
    <xf numFmtId="0" fontId="31" fillId="0" borderId="0" xfId="0" applyFont="1" applyBorder="1"/>
    <xf numFmtId="0" fontId="12" fillId="0" borderId="1" xfId="0" applyFont="1" applyBorder="1" applyAlignment="1">
      <alignment wrapText="1"/>
    </xf>
    <xf numFmtId="0" fontId="49" fillId="0" borderId="0" xfId="0" applyFont="1" applyBorder="1" applyAlignment="1">
      <alignment wrapText="1"/>
    </xf>
    <xf numFmtId="0" fontId="28" fillId="0" borderId="0" xfId="0" applyFont="1" applyBorder="1" applyAlignment="1">
      <alignment vertical="center"/>
    </xf>
    <xf numFmtId="0" fontId="33" fillId="0" borderId="0" xfId="0" applyFont="1" applyBorder="1" applyAlignment="1">
      <alignment horizontal="right"/>
    </xf>
    <xf numFmtId="0" fontId="20" fillId="0" borderId="0" xfId="0" applyFont="1" applyAlignment="1">
      <alignment wrapText="1"/>
    </xf>
    <xf numFmtId="0" fontId="20" fillId="0" borderId="0" xfId="0" applyFont="1" applyAlignment="1">
      <alignment horizontal="right" vertical="center" wrapText="1" indent="1"/>
    </xf>
    <xf numFmtId="0" fontId="29" fillId="0" borderId="0" xfId="0" applyFont="1" applyBorder="1" applyAlignment="1">
      <alignment horizontal="right" vertical="center"/>
    </xf>
    <xf numFmtId="0" fontId="12" fillId="0" borderId="0" xfId="0" applyFont="1" applyAlignment="1">
      <alignment horizontal="center" wrapText="1"/>
    </xf>
    <xf numFmtId="0" fontId="18" fillId="0" borderId="0" xfId="0" applyFont="1" applyAlignment="1">
      <alignment horizontal="center"/>
    </xf>
    <xf numFmtId="0" fontId="18" fillId="0" borderId="2" xfId="0" applyFont="1" applyBorder="1" applyAlignment="1">
      <alignment horizontal="center" wrapText="1"/>
    </xf>
    <xf numFmtId="0" fontId="18" fillId="0" borderId="0" xfId="0" applyFont="1" applyBorder="1" applyAlignment="1">
      <alignment horizontal="center"/>
    </xf>
    <xf numFmtId="0" fontId="28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right" wrapText="1"/>
    </xf>
    <xf numFmtId="0" fontId="31" fillId="0" borderId="0" xfId="0" applyFont="1" applyAlignment="1">
      <alignment horizontal="center" vertical="center"/>
    </xf>
    <xf numFmtId="0" fontId="30" fillId="0" borderId="0" xfId="0" applyFont="1" applyBorder="1"/>
    <xf numFmtId="0" fontId="15" fillId="0" borderId="0" xfId="0" applyFont="1" applyBorder="1" applyAlignment="1">
      <alignment vertical="center" wrapText="1"/>
    </xf>
    <xf numFmtId="0" fontId="28" fillId="0" borderId="0" xfId="0" applyFont="1" applyBorder="1" applyAlignment="1">
      <alignment horizontal="center" vertical="center"/>
    </xf>
    <xf numFmtId="0" fontId="19" fillId="0" borderId="0" xfId="0" applyFont="1" applyBorder="1"/>
    <xf numFmtId="0" fontId="14" fillId="0" borderId="1" xfId="0" applyFont="1" applyBorder="1" applyAlignment="1">
      <alignment horizontal="right" wrapText="1"/>
    </xf>
    <xf numFmtId="0" fontId="37" fillId="0" borderId="2" xfId="0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24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vertical="center"/>
    </xf>
    <xf numFmtId="0" fontId="24" fillId="0" borderId="0" xfId="0" applyFont="1" applyAlignment="1">
      <alignment horizontal="right" vertical="top"/>
    </xf>
    <xf numFmtId="0" fontId="24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14" fillId="0" borderId="1" xfId="0" applyFont="1" applyBorder="1" applyAlignment="1">
      <alignment wrapText="1"/>
    </xf>
    <xf numFmtId="0" fontId="24" fillId="0" borderId="0" xfId="0" applyFont="1" applyAlignment="1">
      <alignment horizontal="left" wrapText="1"/>
    </xf>
    <xf numFmtId="0" fontId="24" fillId="0" borderId="0" xfId="0" applyFont="1" applyAlignment="1">
      <alignment wrapText="1"/>
    </xf>
    <xf numFmtId="2" fontId="32" fillId="0" borderId="0" xfId="0" applyNumberFormat="1" applyFont="1" applyBorder="1" applyAlignment="1">
      <alignment horizontal="center" wrapText="1"/>
    </xf>
    <xf numFmtId="0" fontId="52" fillId="0" borderId="0" xfId="0" applyFont="1" applyBorder="1" applyAlignment="1">
      <alignment wrapText="1"/>
    </xf>
    <xf numFmtId="49" fontId="34" fillId="0" borderId="0" xfId="0" applyNumberFormat="1" applyFont="1" applyBorder="1" applyAlignment="1">
      <alignment wrapText="1"/>
    </xf>
    <xf numFmtId="0" fontId="51" fillId="0" borderId="0" xfId="0" applyFont="1" applyBorder="1"/>
    <xf numFmtId="0" fontId="26" fillId="0" borderId="0" xfId="0" applyFont="1" applyAlignment="1">
      <alignment horizontal="center" wrapText="1"/>
    </xf>
    <xf numFmtId="0" fontId="14" fillId="0" borderId="2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22" fillId="0" borderId="0" xfId="0" applyFont="1" applyAlignment="1">
      <alignment horizontal="right" vertical="top"/>
    </xf>
    <xf numFmtId="0" fontId="15" fillId="0" borderId="0" xfId="0" applyFont="1" applyBorder="1" applyAlignment="1">
      <alignment horizontal="center" wrapText="1"/>
    </xf>
    <xf numFmtId="0" fontId="9" fillId="0" borderId="0" xfId="0" applyFont="1" applyBorder="1" applyAlignment="1">
      <alignment vertical="center"/>
    </xf>
    <xf numFmtId="2" fontId="15" fillId="0" borderId="0" xfId="0" applyNumberFormat="1" applyFont="1" applyBorder="1" applyAlignment="1">
      <alignment horizontal="center" wrapText="1"/>
    </xf>
    <xf numFmtId="2" fontId="29" fillId="0" borderId="0" xfId="0" applyNumberFormat="1" applyFont="1" applyBorder="1" applyAlignment="1">
      <alignment horizontal="center"/>
    </xf>
    <xf numFmtId="0" fontId="29" fillId="0" borderId="0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1" fontId="12" fillId="0" borderId="0" xfId="0" applyNumberFormat="1" applyFont="1" applyBorder="1" applyAlignment="1">
      <alignment horizontal="left" wrapText="1"/>
    </xf>
    <xf numFmtId="1" fontId="12" fillId="0" borderId="0" xfId="0" applyNumberFormat="1" applyFont="1" applyBorder="1" applyAlignment="1">
      <alignment horizontal="right" wrapText="1"/>
    </xf>
    <xf numFmtId="1" fontId="12" fillId="0" borderId="0" xfId="0" applyNumberFormat="1" applyFont="1" applyBorder="1" applyAlignment="1">
      <alignment horizontal="center" wrapText="1"/>
    </xf>
    <xf numFmtId="1" fontId="14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/>
    </xf>
    <xf numFmtId="0" fontId="22" fillId="0" borderId="0" xfId="0" applyFont="1" applyFill="1" applyBorder="1" applyAlignment="1">
      <alignment horizontal="center"/>
    </xf>
    <xf numFmtId="2" fontId="22" fillId="0" borderId="0" xfId="0" applyNumberFormat="1" applyFont="1" applyFill="1" applyBorder="1" applyAlignment="1">
      <alignment horizontal="center"/>
    </xf>
    <xf numFmtId="0" fontId="41" fillId="0" borderId="0" xfId="0" applyFont="1" applyBorder="1" applyAlignment="1">
      <alignment horizontal="center" wrapText="1"/>
    </xf>
    <xf numFmtId="2" fontId="41" fillId="0" borderId="0" xfId="0" applyNumberFormat="1" applyFont="1" applyBorder="1" applyAlignment="1">
      <alignment horizontal="center" wrapText="1"/>
    </xf>
    <xf numFmtId="2" fontId="42" fillId="0" borderId="0" xfId="0" applyNumberFormat="1" applyFont="1" applyBorder="1" applyAlignment="1">
      <alignment horizontal="center" wrapText="1"/>
    </xf>
    <xf numFmtId="0" fontId="27" fillId="0" borderId="0" xfId="0" applyFont="1" applyAlignment="1">
      <alignment vertical="center"/>
    </xf>
    <xf numFmtId="164" fontId="43" fillId="0" borderId="0" xfId="0" applyNumberFormat="1" applyFont="1"/>
    <xf numFmtId="164" fontId="14" fillId="0" borderId="0" xfId="0" applyNumberFormat="1" applyFont="1" applyBorder="1"/>
    <xf numFmtId="1" fontId="15" fillId="0" borderId="0" xfId="0" applyNumberFormat="1" applyFont="1" applyBorder="1" applyAlignment="1">
      <alignment horizontal="center" wrapText="1"/>
    </xf>
    <xf numFmtId="2" fontId="14" fillId="0" borderId="0" xfId="0" applyNumberFormat="1" applyFont="1" applyBorder="1" applyAlignment="1">
      <alignment horizontal="left"/>
    </xf>
    <xf numFmtId="0" fontId="34" fillId="0" borderId="0" xfId="0" applyFont="1" applyBorder="1" applyAlignment="1">
      <alignment horizontal="left"/>
    </xf>
    <xf numFmtId="49" fontId="34" fillId="0" borderId="0" xfId="0" applyNumberFormat="1" applyFont="1" applyBorder="1" applyAlignment="1">
      <alignment horizontal="right" vertical="center" wrapText="1"/>
    </xf>
    <xf numFmtId="49" fontId="34" fillId="0" borderId="0" xfId="0" applyNumberFormat="1" applyFont="1" applyAlignment="1">
      <alignment horizontal="right"/>
    </xf>
    <xf numFmtId="0" fontId="34" fillId="0" borderId="0" xfId="0" applyFont="1" applyBorder="1" applyAlignment="1">
      <alignment vertical="center" wrapText="1"/>
    </xf>
    <xf numFmtId="0" fontId="20" fillId="0" borderId="0" xfId="196" applyFont="1" applyAlignment="1">
      <alignment wrapText="1"/>
    </xf>
    <xf numFmtId="0" fontId="20" fillId="0" borderId="0" xfId="196" applyFont="1" applyAlignment="1">
      <alignment horizontal="right"/>
    </xf>
    <xf numFmtId="0" fontId="6" fillId="0" borderId="1" xfId="196" applyFont="1" applyBorder="1" applyAlignment="1">
      <alignment horizontal="left"/>
    </xf>
    <xf numFmtId="0" fontId="6" fillId="0" borderId="1" xfId="196" applyFont="1" applyBorder="1"/>
    <xf numFmtId="0" fontId="55" fillId="0" borderId="0" xfId="196" applyFont="1"/>
    <xf numFmtId="0" fontId="56" fillId="0" borderId="0" xfId="0" applyFont="1"/>
    <xf numFmtId="0" fontId="27" fillId="0" borderId="7" xfId="196" applyFont="1" applyBorder="1" applyAlignment="1">
      <alignment horizontal="center" vertical="center" wrapText="1"/>
    </xf>
    <xf numFmtId="0" fontId="57" fillId="0" borderId="0" xfId="0" applyFont="1"/>
    <xf numFmtId="0" fontId="44" fillId="0" borderId="0" xfId="0" applyFont="1" applyBorder="1" applyAlignment="1">
      <alignment horizontal="left" wrapText="1"/>
    </xf>
    <xf numFmtId="0" fontId="22" fillId="0" borderId="0" xfId="196" applyFont="1" applyBorder="1" applyAlignment="1">
      <alignment horizontal="left"/>
    </xf>
    <xf numFmtId="2" fontId="22" fillId="0" borderId="0" xfId="196" applyNumberFormat="1" applyFont="1" applyBorder="1" applyAlignment="1">
      <alignment horizontal="center"/>
    </xf>
    <xf numFmtId="0" fontId="14" fillId="0" borderId="0" xfId="196" applyFont="1" applyBorder="1" applyAlignment="1">
      <alignment horizontal="left"/>
    </xf>
    <xf numFmtId="2" fontId="14" fillId="0" borderId="0" xfId="196" applyNumberFormat="1" applyFont="1" applyBorder="1" applyAlignment="1">
      <alignment horizontal="center"/>
    </xf>
    <xf numFmtId="2" fontId="14" fillId="0" borderId="0" xfId="196" applyNumberFormat="1" applyFont="1" applyAlignment="1">
      <alignment horizontal="center"/>
    </xf>
    <xf numFmtId="2" fontId="22" fillId="0" borderId="0" xfId="196" applyNumberFormat="1" applyFont="1" applyAlignment="1">
      <alignment horizontal="center"/>
    </xf>
    <xf numFmtId="2" fontId="22" fillId="0" borderId="0" xfId="196" applyNumberFormat="1" applyFont="1" applyFill="1" applyAlignment="1">
      <alignment horizontal="center"/>
    </xf>
    <xf numFmtId="2" fontId="16" fillId="0" borderId="0" xfId="0" applyNumberFormat="1" applyFont="1" applyAlignment="1">
      <alignment horizontal="center"/>
    </xf>
    <xf numFmtId="2" fontId="12" fillId="0" borderId="0" xfId="0" applyNumberFormat="1" applyFont="1" applyAlignment="1">
      <alignment horizontal="center"/>
    </xf>
    <xf numFmtId="2" fontId="14" fillId="0" borderId="0" xfId="196" applyNumberFormat="1" applyFont="1" applyFill="1" applyAlignment="1">
      <alignment horizontal="center"/>
    </xf>
    <xf numFmtId="2" fontId="12" fillId="0" borderId="0" xfId="196" applyNumberFormat="1" applyFont="1" applyFill="1" applyBorder="1" applyAlignment="1">
      <alignment horizontal="center"/>
    </xf>
    <xf numFmtId="2" fontId="16" fillId="0" borderId="0" xfId="196" applyNumberFormat="1" applyFont="1" applyFill="1" applyBorder="1" applyAlignment="1">
      <alignment horizontal="center"/>
    </xf>
    <xf numFmtId="2" fontId="12" fillId="0" borderId="0" xfId="196" applyNumberFormat="1" applyFont="1" applyFill="1" applyBorder="1" applyAlignment="1">
      <alignment horizontal="center" wrapText="1"/>
    </xf>
    <xf numFmtId="0" fontId="44" fillId="0" borderId="0" xfId="0" applyFont="1" applyBorder="1" applyAlignment="1">
      <alignment horizontal="center" wrapText="1"/>
    </xf>
    <xf numFmtId="2" fontId="44" fillId="0" borderId="0" xfId="0" applyNumberFormat="1" applyFont="1" applyBorder="1" applyAlignment="1">
      <alignment horizontal="center" wrapText="1"/>
    </xf>
    <xf numFmtId="0" fontId="44" fillId="0" borderId="0" xfId="0" applyFont="1" applyBorder="1" applyAlignment="1">
      <alignment horizontal="right" wrapText="1"/>
    </xf>
    <xf numFmtId="0" fontId="41" fillId="0" borderId="0" xfId="0" applyFont="1" applyBorder="1"/>
    <xf numFmtId="2" fontId="12" fillId="0" borderId="0" xfId="0" applyNumberFormat="1" applyFont="1" applyBorder="1" applyAlignment="1">
      <alignment horizontal="center"/>
    </xf>
    <xf numFmtId="0" fontId="27" fillId="0" borderId="2" xfId="196" applyFont="1" applyBorder="1" applyAlignment="1">
      <alignment horizontal="center" vertical="center" wrapText="1"/>
    </xf>
    <xf numFmtId="1" fontId="14" fillId="0" borderId="0" xfId="0" applyNumberFormat="1" applyFont="1" applyBorder="1" applyAlignment="1">
      <alignment horizontal="center" wrapText="1"/>
    </xf>
    <xf numFmtId="0" fontId="19" fillId="0" borderId="0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/>
    </xf>
    <xf numFmtId="0" fontId="29" fillId="0" borderId="5" xfId="0" applyFont="1" applyBorder="1" applyAlignment="1">
      <alignment vertical="center" wrapText="1"/>
    </xf>
    <xf numFmtId="0" fontId="29" fillId="0" borderId="6" xfId="0" applyFont="1" applyBorder="1" applyAlignment="1">
      <alignment vertical="center" wrapText="1"/>
    </xf>
    <xf numFmtId="0" fontId="29" fillId="0" borderId="3" xfId="0" applyFont="1" applyBorder="1" applyAlignment="1">
      <alignment vertical="center" wrapText="1"/>
    </xf>
    <xf numFmtId="0" fontId="29" fillId="0" borderId="13" xfId="0" applyFont="1" applyBorder="1" applyAlignment="1">
      <alignment vertical="center" wrapText="1"/>
    </xf>
    <xf numFmtId="2" fontId="14" fillId="0" borderId="0" xfId="0" applyNumberFormat="1" applyFont="1" applyBorder="1"/>
    <xf numFmtId="0" fontId="34" fillId="0" borderId="0" xfId="0" applyFont="1" applyBorder="1" applyAlignment="1">
      <alignment horizontal="left" wrapText="1"/>
    </xf>
    <xf numFmtId="2" fontId="41" fillId="0" borderId="0" xfId="0" applyNumberFormat="1" applyFont="1" applyBorder="1" applyAlignment="1">
      <alignment horizontal="center" vertical="center" wrapText="1"/>
    </xf>
    <xf numFmtId="2" fontId="13" fillId="0" borderId="0" xfId="0" applyNumberFormat="1" applyFont="1" applyBorder="1" applyAlignment="1">
      <alignment horizontal="center" vertical="center" wrapText="1"/>
    </xf>
    <xf numFmtId="0" fontId="52" fillId="0" borderId="0" xfId="0" applyFont="1" applyBorder="1" applyAlignment="1">
      <alignment horizontal="center" wrapText="1"/>
    </xf>
    <xf numFmtId="0" fontId="6" fillId="0" borderId="0" xfId="0" applyFont="1" applyAlignment="1">
      <alignment horizontal="left"/>
    </xf>
    <xf numFmtId="0" fontId="26" fillId="0" borderId="0" xfId="0" applyFont="1" applyFill="1" applyBorder="1" applyAlignment="1">
      <alignment wrapText="1"/>
    </xf>
    <xf numFmtId="0" fontId="29" fillId="0" borderId="7" xfId="0" applyFont="1" applyFill="1" applyBorder="1" applyAlignment="1">
      <alignment horizontal="center" vertical="center" wrapText="1"/>
    </xf>
    <xf numFmtId="0" fontId="14" fillId="0" borderId="0" xfId="0" applyFont="1" applyFill="1" applyBorder="1"/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/>
    <xf numFmtId="0" fontId="20" fillId="0" borderId="0" xfId="0" applyFont="1" applyFill="1" applyBorder="1" applyAlignment="1">
      <alignment horizontal="right" wrapText="1"/>
    </xf>
    <xf numFmtId="0" fontId="20" fillId="0" borderId="0" xfId="0" applyFont="1" applyFill="1" applyBorder="1" applyAlignment="1">
      <alignment wrapText="1"/>
    </xf>
    <xf numFmtId="0" fontId="33" fillId="0" borderId="0" xfId="0" applyFont="1" applyFill="1"/>
    <xf numFmtId="0" fontId="27" fillId="0" borderId="0" xfId="0" applyFont="1" applyFill="1" applyBorder="1" applyAlignment="1">
      <alignment horizontal="center" wrapText="1"/>
    </xf>
    <xf numFmtId="0" fontId="27" fillId="0" borderId="0" xfId="0" applyFont="1" applyFill="1" applyBorder="1" applyAlignment="1">
      <alignment wrapText="1"/>
    </xf>
    <xf numFmtId="0" fontId="29" fillId="0" borderId="0" xfId="0" applyFont="1" applyFill="1"/>
    <xf numFmtId="0" fontId="29" fillId="0" borderId="1" xfId="0" applyFont="1" applyFill="1" applyBorder="1" applyAlignment="1">
      <alignment vertical="top" wrapText="1"/>
    </xf>
    <xf numFmtId="0" fontId="29" fillId="0" borderId="0" xfId="0" applyFont="1" applyFill="1" applyBorder="1"/>
    <xf numFmtId="0" fontId="29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/>
    </xf>
    <xf numFmtId="0" fontId="22" fillId="0" borderId="0" xfId="0" applyFont="1" applyFill="1" applyBorder="1" applyAlignment="1">
      <alignment horizontal="left" wrapText="1"/>
    </xf>
    <xf numFmtId="0" fontId="22" fillId="0" borderId="0" xfId="0" applyFont="1" applyFill="1" applyBorder="1" applyAlignment="1"/>
    <xf numFmtId="0" fontId="22" fillId="0" borderId="0" xfId="0" applyFont="1" applyFill="1" applyBorder="1" applyAlignment="1">
      <alignment horizontal="right" wrapText="1"/>
    </xf>
    <xf numFmtId="0" fontId="13" fillId="0" borderId="0" xfId="0" applyFont="1" applyFill="1" applyBorder="1" applyAlignment="1">
      <alignment horizontal="left" wrapText="1"/>
    </xf>
    <xf numFmtId="0" fontId="13" fillId="0" borderId="0" xfId="0" applyFont="1" applyFill="1" applyBorder="1"/>
    <xf numFmtId="164" fontId="14" fillId="0" borderId="0" xfId="0" applyNumberFormat="1" applyFont="1" applyFill="1"/>
    <xf numFmtId="0" fontId="5" fillId="0" borderId="0" xfId="0" applyFont="1" applyFill="1"/>
    <xf numFmtId="2" fontId="14" fillId="0" borderId="0" xfId="0" applyNumberFormat="1" applyFont="1" applyBorder="1" applyAlignment="1"/>
    <xf numFmtId="0" fontId="29" fillId="0" borderId="0" xfId="0" applyFont="1" applyAlignment="1">
      <alignment vertical="center" wrapText="1"/>
    </xf>
    <xf numFmtId="2" fontId="6" fillId="0" borderId="0" xfId="0" applyNumberFormat="1" applyFont="1" applyBorder="1" applyAlignment="1">
      <alignment horizontal="center"/>
    </xf>
    <xf numFmtId="0" fontId="21" fillId="0" borderId="0" xfId="0" applyFont="1" applyAlignment="1">
      <alignment wrapText="1"/>
    </xf>
    <xf numFmtId="0" fontId="15" fillId="0" borderId="0" xfId="0" applyFont="1" applyAlignment="1">
      <alignment wrapText="1"/>
    </xf>
    <xf numFmtId="0" fontId="15" fillId="0" borderId="0" xfId="0" applyFont="1" applyAlignment="1">
      <alignment horizontal="left" vertical="justify" wrapText="1"/>
    </xf>
    <xf numFmtId="0" fontId="15" fillId="0" borderId="0" xfId="0" applyFont="1" applyAlignment="1">
      <alignment vertical="justify" wrapText="1"/>
    </xf>
    <xf numFmtId="0" fontId="6" fillId="0" borderId="0" xfId="0" applyFont="1" applyAlignment="1">
      <alignment vertical="justify"/>
    </xf>
    <xf numFmtId="0" fontId="15" fillId="0" borderId="0" xfId="0" applyFont="1" applyFill="1" applyAlignment="1">
      <alignment vertical="justify" wrapText="1"/>
    </xf>
    <xf numFmtId="0" fontId="0" fillId="0" borderId="0" xfId="0" applyFill="1"/>
    <xf numFmtId="0" fontId="0" fillId="0" borderId="0" xfId="0" applyFill="1" applyBorder="1"/>
    <xf numFmtId="0" fontId="29" fillId="0" borderId="0" xfId="0" applyFont="1" applyAlignment="1"/>
    <xf numFmtId="0" fontId="6" fillId="0" borderId="0" xfId="0" applyFont="1" applyAlignment="1"/>
    <xf numFmtId="0" fontId="0" fillId="0" borderId="0" xfId="0" applyAlignment="1"/>
    <xf numFmtId="0" fontId="4" fillId="0" borderId="0" xfId="0" applyFont="1" applyAlignment="1"/>
    <xf numFmtId="0" fontId="64" fillId="0" borderId="0" xfId="0" applyFont="1" applyAlignment="1"/>
    <xf numFmtId="0" fontId="65" fillId="0" borderId="0" xfId="0" applyFont="1" applyAlignment="1"/>
    <xf numFmtId="0" fontId="22" fillId="0" borderId="0" xfId="0" applyFont="1" applyFill="1"/>
    <xf numFmtId="0" fontId="22" fillId="0" borderId="0" xfId="0" applyFont="1" applyFill="1" applyBorder="1"/>
    <xf numFmtId="0" fontId="62" fillId="0" borderId="0" xfId="0" applyFont="1" applyAlignment="1"/>
    <xf numFmtId="0" fontId="2" fillId="0" borderId="0" xfId="173" applyAlignment="1" applyProtection="1"/>
    <xf numFmtId="0" fontId="0" fillId="2" borderId="0" xfId="0" applyFill="1"/>
    <xf numFmtId="0" fontId="0" fillId="2" borderId="0" xfId="0" applyFill="1" applyBorder="1"/>
    <xf numFmtId="0" fontId="30" fillId="0" borderId="0" xfId="0" applyFont="1" applyBorder="1" applyAlignment="1">
      <alignment horizontal="left"/>
    </xf>
    <xf numFmtId="0" fontId="124" fillId="0" borderId="0" xfId="0" applyFont="1"/>
    <xf numFmtId="0" fontId="66" fillId="0" borderId="0" xfId="0" applyFont="1" applyBorder="1" applyAlignment="1">
      <alignment wrapText="1"/>
    </xf>
    <xf numFmtId="0" fontId="33" fillId="0" borderId="0" xfId="0" applyFont="1" applyBorder="1" applyAlignment="1">
      <alignment wrapText="1"/>
    </xf>
    <xf numFmtId="0" fontId="33" fillId="2" borderId="0" xfId="0" applyFont="1" applyFill="1" applyBorder="1"/>
    <xf numFmtId="0" fontId="62" fillId="0" borderId="0" xfId="0" applyFont="1" applyBorder="1" applyAlignment="1">
      <alignment horizontal="center"/>
    </xf>
    <xf numFmtId="0" fontId="0" fillId="0" borderId="0" xfId="0" applyBorder="1"/>
    <xf numFmtId="0" fontId="18" fillId="0" borderId="2" xfId="0" applyFont="1" applyBorder="1" applyAlignment="1">
      <alignment vertical="center" wrapText="1"/>
    </xf>
    <xf numFmtId="0" fontId="68" fillId="0" borderId="0" xfId="0" applyFont="1" applyBorder="1" applyAlignment="1">
      <alignment horizontal="left" wrapText="1"/>
    </xf>
    <xf numFmtId="0" fontId="34" fillId="0" borderId="0" xfId="0" applyFont="1" applyBorder="1" applyAlignment="1">
      <alignment horizontal="center"/>
    </xf>
    <xf numFmtId="0" fontId="68" fillId="0" borderId="0" xfId="0" applyFont="1" applyBorder="1" applyAlignment="1">
      <alignment horizontal="center" wrapText="1"/>
    </xf>
    <xf numFmtId="0" fontId="17" fillId="0" borderId="0" xfId="0" applyFont="1"/>
    <xf numFmtId="0" fontId="17" fillId="0" borderId="0" xfId="0" applyFont="1" applyBorder="1" applyAlignment="1">
      <alignment wrapText="1"/>
    </xf>
    <xf numFmtId="0" fontId="69" fillId="0" borderId="0" xfId="0" applyFont="1"/>
    <xf numFmtId="0" fontId="61" fillId="0" borderId="0" xfId="0" applyFont="1" applyBorder="1" applyAlignment="1">
      <alignment wrapText="1"/>
    </xf>
    <xf numFmtId="0" fontId="34" fillId="0" borderId="0" xfId="0" applyFont="1" applyAlignment="1">
      <alignment vertical="center"/>
    </xf>
    <xf numFmtId="0" fontId="34" fillId="0" borderId="0" xfId="0" applyFont="1" applyBorder="1" applyAlignment="1">
      <alignment vertical="center"/>
    </xf>
    <xf numFmtId="0" fontId="18" fillId="0" borderId="0" xfId="0" applyFont="1" applyAlignment="1"/>
    <xf numFmtId="0" fontId="34" fillId="0" borderId="0" xfId="0" applyFont="1" applyBorder="1" applyAlignment="1">
      <alignment horizontal="right"/>
    </xf>
    <xf numFmtId="0" fontId="52" fillId="0" borderId="0" xfId="0" applyFont="1" applyBorder="1" applyAlignment="1">
      <alignment horizontal="left"/>
    </xf>
    <xf numFmtId="0" fontId="52" fillId="0" borderId="0" xfId="0" applyFont="1" applyBorder="1" applyAlignment="1">
      <alignment horizontal="center"/>
    </xf>
    <xf numFmtId="0" fontId="17" fillId="0" borderId="0" xfId="0" applyFont="1" applyBorder="1"/>
    <xf numFmtId="49" fontId="17" fillId="0" borderId="0" xfId="0" applyNumberFormat="1" applyFont="1" applyBorder="1" applyAlignment="1"/>
    <xf numFmtId="0" fontId="25" fillId="0" borderId="0" xfId="0" applyFont="1" applyBorder="1" applyAlignment="1">
      <alignment horizontal="center" wrapText="1"/>
    </xf>
    <xf numFmtId="0" fontId="26" fillId="0" borderId="0" xfId="0" applyFont="1" applyBorder="1" applyAlignment="1">
      <alignment horizontal="left"/>
    </xf>
    <xf numFmtId="0" fontId="69" fillId="0" borderId="0" xfId="0" applyFont="1" applyAlignment="1">
      <alignment vertical="center"/>
    </xf>
    <xf numFmtId="0" fontId="23" fillId="0" borderId="0" xfId="0" applyFont="1" applyAlignment="1">
      <alignment horizontal="right"/>
    </xf>
    <xf numFmtId="0" fontId="14" fillId="0" borderId="0" xfId="0" applyFont="1" applyFill="1" applyBorder="1" applyAlignment="1">
      <alignment horizontal="right"/>
    </xf>
    <xf numFmtId="0" fontId="54" fillId="0" borderId="7" xfId="0" applyFont="1" applyFill="1" applyBorder="1" applyAlignment="1">
      <alignment horizontal="right" vertical="center" wrapText="1"/>
    </xf>
    <xf numFmtId="0" fontId="4" fillId="0" borderId="0" xfId="0" applyFont="1" applyFill="1" applyBorder="1"/>
    <xf numFmtId="0" fontId="4" fillId="2" borderId="0" xfId="0" applyFont="1" applyFill="1"/>
    <xf numFmtId="0" fontId="4" fillId="2" borderId="0" xfId="0" applyFont="1" applyFill="1" applyBorder="1"/>
    <xf numFmtId="0" fontId="4" fillId="0" borderId="0" xfId="0" applyFont="1"/>
    <xf numFmtId="0" fontId="125" fillId="0" borderId="2" xfId="0" applyFont="1" applyBorder="1" applyAlignment="1">
      <alignment horizontal="center" vertical="center" wrapText="1"/>
    </xf>
    <xf numFmtId="2" fontId="125" fillId="0" borderId="0" xfId="0" applyNumberFormat="1" applyFont="1" applyFill="1" applyBorder="1" applyAlignment="1">
      <alignment horizontal="center"/>
    </xf>
    <xf numFmtId="164" fontId="14" fillId="0" borderId="0" xfId="0" applyNumberFormat="1" applyFont="1" applyFill="1" applyBorder="1"/>
    <xf numFmtId="0" fontId="33" fillId="2" borderId="0" xfId="0" applyFont="1" applyFill="1" applyBorder="1" applyAlignment="1">
      <alignment horizontal="right"/>
    </xf>
    <xf numFmtId="0" fontId="37" fillId="0" borderId="0" xfId="0" applyFont="1" applyBorder="1" applyAlignment="1">
      <alignment horizontal="left" vertical="top" wrapText="1"/>
    </xf>
    <xf numFmtId="2" fontId="13" fillId="0" borderId="0" xfId="0" applyNumberFormat="1" applyFont="1" applyFill="1" applyBorder="1" applyAlignment="1">
      <alignment horizontal="center" wrapText="1"/>
    </xf>
    <xf numFmtId="0" fontId="20" fillId="0" borderId="0" xfId="0" applyFont="1"/>
    <xf numFmtId="0" fontId="20" fillId="0" borderId="0" xfId="0" applyFont="1" applyAlignment="1">
      <alignment horizontal="center" wrapText="1"/>
    </xf>
    <xf numFmtId="0" fontId="20" fillId="0" borderId="0" xfId="0" applyFont="1" applyBorder="1" applyAlignment="1">
      <alignment horizontal="center" wrapText="1"/>
    </xf>
    <xf numFmtId="0" fontId="20" fillId="0" borderId="0" xfId="0" applyNumberFormat="1" applyFont="1" applyBorder="1" applyAlignment="1">
      <alignment horizontal="center" wrapText="1"/>
    </xf>
    <xf numFmtId="0" fontId="27" fillId="0" borderId="0" xfId="0" applyFont="1" applyBorder="1" applyAlignment="1">
      <alignment horizontal="right" wrapText="1"/>
    </xf>
    <xf numFmtId="0" fontId="27" fillId="0" borderId="0" xfId="0" applyFont="1" applyAlignment="1">
      <alignment horizontal="center" wrapText="1"/>
    </xf>
    <xf numFmtId="0" fontId="27" fillId="0" borderId="0" xfId="0" applyFont="1" applyBorder="1" applyAlignment="1">
      <alignment horizontal="center" wrapText="1"/>
    </xf>
    <xf numFmtId="0" fontId="29" fillId="0" borderId="0" xfId="0" applyFont="1" applyAlignment="1">
      <alignment horizontal="left" wrapText="1"/>
    </xf>
    <xf numFmtId="0" fontId="27" fillId="0" borderId="1" xfId="0" applyFont="1" applyBorder="1" applyAlignment="1">
      <alignment horizontal="center" wrapText="1"/>
    </xf>
    <xf numFmtId="0" fontId="29" fillId="0" borderId="1" xfId="0" applyFont="1" applyBorder="1" applyAlignment="1">
      <alignment horizontal="center" wrapText="1"/>
    </xf>
    <xf numFmtId="0" fontId="19" fillId="0" borderId="0" xfId="0" applyFont="1" applyAlignment="1">
      <alignment vertical="center"/>
    </xf>
    <xf numFmtId="2" fontId="12" fillId="0" borderId="0" xfId="0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2" fontId="14" fillId="0" borderId="0" xfId="0" applyNumberFormat="1" applyFont="1" applyBorder="1" applyAlignment="1">
      <alignment horizontal="center" vertical="center" wrapText="1"/>
    </xf>
    <xf numFmtId="2" fontId="14" fillId="0" borderId="0" xfId="0" applyNumberFormat="1" applyFont="1" applyAlignment="1">
      <alignment horizontal="center" vertical="center"/>
    </xf>
    <xf numFmtId="14" fontId="14" fillId="0" borderId="0" xfId="0" applyNumberFormat="1" applyFont="1" applyFill="1" applyBorder="1" applyAlignment="1">
      <alignment horizontal="center"/>
    </xf>
    <xf numFmtId="21" fontId="14" fillId="0" borderId="0" xfId="0" applyNumberFormat="1" applyFont="1" applyFill="1" applyBorder="1" applyAlignment="1">
      <alignment horizontal="center"/>
    </xf>
    <xf numFmtId="46" fontId="14" fillId="0" borderId="0" xfId="0" applyNumberFormat="1" applyFont="1" applyFill="1" applyBorder="1" applyAlignment="1">
      <alignment horizontal="center"/>
    </xf>
    <xf numFmtId="0" fontId="14" fillId="0" borderId="14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wrapText="1"/>
    </xf>
    <xf numFmtId="0" fontId="22" fillId="0" borderId="0" xfId="0" applyFont="1" applyFill="1" applyAlignment="1">
      <alignment horizontal="right" vertical="center"/>
    </xf>
    <xf numFmtId="0" fontId="13" fillId="0" borderId="0" xfId="0" applyFont="1" applyFill="1"/>
    <xf numFmtId="0" fontId="14" fillId="0" borderId="0" xfId="0" applyNumberFormat="1" applyFont="1" applyBorder="1" applyAlignment="1">
      <alignment horizontal="center"/>
    </xf>
    <xf numFmtId="0" fontId="57" fillId="0" borderId="0" xfId="0" applyFont="1" applyBorder="1"/>
    <xf numFmtId="164" fontId="14" fillId="0" borderId="0" xfId="0" applyNumberFormat="1" applyFont="1" applyBorder="1" applyAlignment="1">
      <alignment horizontal="left" vertical="center" wrapText="1"/>
    </xf>
    <xf numFmtId="164" fontId="14" fillId="0" borderId="0" xfId="0" applyNumberFormat="1" applyFont="1" applyBorder="1" applyAlignment="1">
      <alignment horizontal="center" vertical="center" wrapText="1"/>
    </xf>
    <xf numFmtId="164" fontId="14" fillId="0" borderId="0" xfId="0" applyNumberFormat="1" applyFont="1" applyBorder="1" applyAlignment="1">
      <alignment horizontal="center" vertical="center"/>
    </xf>
    <xf numFmtId="171" fontId="14" fillId="0" borderId="0" xfId="0" applyNumberFormat="1" applyFont="1" applyBorder="1" applyAlignment="1">
      <alignment horizontal="center" vertical="center" wrapText="1"/>
    </xf>
    <xf numFmtId="1" fontId="14" fillId="0" borderId="0" xfId="0" applyNumberFormat="1" applyFont="1" applyBorder="1" applyAlignment="1">
      <alignment horizontal="center" vertical="center" wrapText="1"/>
    </xf>
    <xf numFmtId="164" fontId="14" fillId="0" borderId="0" xfId="0" applyNumberFormat="1" applyFont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164" fontId="14" fillId="0" borderId="0" xfId="0" applyNumberFormat="1" applyFont="1" applyFill="1" applyBorder="1" applyAlignment="1">
      <alignment horizontal="left" vertical="center" wrapText="1"/>
    </xf>
    <xf numFmtId="164" fontId="14" fillId="0" borderId="0" xfId="0" applyNumberFormat="1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 wrapText="1"/>
    </xf>
    <xf numFmtId="171" fontId="14" fillId="0" borderId="0" xfId="0" applyNumberFormat="1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2" fontId="14" fillId="0" borderId="0" xfId="0" applyNumberFormat="1" applyFont="1" applyFill="1" applyAlignment="1">
      <alignment horizontal="center" vertical="center"/>
    </xf>
    <xf numFmtId="164" fontId="14" fillId="0" borderId="0" xfId="0" applyNumberFormat="1" applyFont="1" applyBorder="1" applyAlignment="1">
      <alignment horizontal="left" wrapText="1"/>
    </xf>
    <xf numFmtId="2" fontId="14" fillId="0" borderId="0" xfId="0" applyNumberFormat="1" applyFont="1" applyBorder="1" applyAlignment="1">
      <alignment horizontal="center" wrapText="1"/>
    </xf>
    <xf numFmtId="164" fontId="14" fillId="0" borderId="0" xfId="0" applyNumberFormat="1" applyFont="1" applyFill="1" applyBorder="1" applyAlignment="1">
      <alignment horizontal="center" wrapText="1"/>
    </xf>
    <xf numFmtId="0" fontId="22" fillId="0" borderId="0" xfId="0" applyFont="1" applyFill="1" applyBorder="1" applyAlignment="1">
      <alignment wrapText="1"/>
    </xf>
    <xf numFmtId="2" fontId="22" fillId="0" borderId="0" xfId="196" applyNumberFormat="1" applyFont="1" applyFill="1" applyBorder="1" applyAlignment="1">
      <alignment horizontal="center"/>
    </xf>
    <xf numFmtId="2" fontId="16" fillId="0" borderId="0" xfId="0" applyNumberFormat="1" applyFont="1" applyFill="1" applyAlignment="1">
      <alignment horizontal="center"/>
    </xf>
    <xf numFmtId="0" fontId="73" fillId="0" borderId="0" xfId="0" applyFont="1"/>
    <xf numFmtId="0" fontId="22" fillId="0" borderId="0" xfId="196" applyFont="1" applyFill="1" applyBorder="1" applyAlignment="1">
      <alignment horizontal="left"/>
    </xf>
    <xf numFmtId="0" fontId="14" fillId="0" borderId="0" xfId="196" applyFont="1" applyFill="1" applyBorder="1" applyAlignment="1">
      <alignment horizontal="left" vertical="center"/>
    </xf>
    <xf numFmtId="0" fontId="14" fillId="0" borderId="0" xfId="0" applyFont="1" applyFill="1" applyBorder="1" applyAlignment="1"/>
    <xf numFmtId="0" fontId="12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center" wrapText="1"/>
    </xf>
    <xf numFmtId="0" fontId="12" fillId="0" borderId="0" xfId="0" applyFont="1" applyFill="1" applyBorder="1" applyAlignment="1">
      <alignment horizontal="right" wrapText="1"/>
    </xf>
    <xf numFmtId="0" fontId="14" fillId="0" borderId="0" xfId="0" applyFont="1" applyFill="1" applyBorder="1" applyAlignment="1">
      <alignment horizontal="left" vertical="center" wrapText="1"/>
    </xf>
    <xf numFmtId="0" fontId="12" fillId="0" borderId="0" xfId="0" applyNumberFormat="1" applyFont="1" applyBorder="1" applyAlignment="1">
      <alignment horizontal="center" wrapText="1"/>
    </xf>
    <xf numFmtId="0" fontId="14" fillId="0" borderId="0" xfId="0" applyNumberFormat="1" applyFont="1" applyBorder="1" applyAlignment="1" applyProtection="1">
      <alignment horizontal="center"/>
      <protection locked="0"/>
    </xf>
    <xf numFmtId="49" fontId="14" fillId="0" borderId="0" xfId="0" applyNumberFormat="1" applyFont="1" applyAlignment="1">
      <alignment horizontal="center"/>
    </xf>
    <xf numFmtId="173" fontId="14" fillId="0" borderId="0" xfId="0" applyNumberFormat="1" applyFont="1" applyBorder="1" applyAlignment="1">
      <alignment horizontal="center"/>
    </xf>
    <xf numFmtId="49" fontId="14" fillId="0" borderId="0" xfId="0" applyNumberFormat="1" applyFont="1" applyAlignment="1"/>
    <xf numFmtId="2" fontId="14" fillId="0" borderId="0" xfId="0" applyNumberFormat="1" applyFont="1" applyAlignment="1">
      <alignment vertical="top"/>
    </xf>
    <xf numFmtId="49" fontId="14" fillId="0" borderId="0" xfId="0" applyNumberFormat="1" applyFont="1" applyAlignment="1">
      <alignment vertical="top"/>
    </xf>
    <xf numFmtId="0" fontId="14" fillId="0" borderId="0" xfId="0" applyFont="1" applyAlignment="1">
      <alignment vertical="top"/>
    </xf>
    <xf numFmtId="2" fontId="14" fillId="0" borderId="0" xfId="0" applyNumberFormat="1" applyFont="1" applyAlignment="1"/>
    <xf numFmtId="0" fontId="14" fillId="0" borderId="0" xfId="0" applyFont="1" applyBorder="1" applyAlignment="1">
      <alignment vertical="top"/>
    </xf>
    <xf numFmtId="0" fontId="14" fillId="0" borderId="0" xfId="0" applyNumberFormat="1" applyFont="1" applyBorder="1" applyAlignment="1"/>
    <xf numFmtId="49" fontId="14" fillId="0" borderId="0" xfId="0" applyNumberFormat="1" applyFont="1" applyBorder="1" applyAlignment="1">
      <alignment vertical="top"/>
    </xf>
    <xf numFmtId="0" fontId="26" fillId="0" borderId="0" xfId="0" applyFont="1" applyFill="1" applyBorder="1" applyAlignment="1">
      <alignment horizontal="left" wrapText="1"/>
    </xf>
    <xf numFmtId="0" fontId="12" fillId="0" borderId="0" xfId="0" applyFont="1" applyBorder="1" applyAlignment="1">
      <alignment horizontal="left" vertical="center" wrapText="1"/>
    </xf>
    <xf numFmtId="2" fontId="12" fillId="0" borderId="0" xfId="0" applyNumberFormat="1" applyFont="1" applyBorder="1" applyAlignment="1">
      <alignment horizontal="left" wrapText="1"/>
    </xf>
    <xf numFmtId="0" fontId="43" fillId="0" borderId="0" xfId="0" applyFont="1"/>
    <xf numFmtId="2" fontId="14" fillId="0" borderId="0" xfId="0" applyNumberFormat="1" applyFont="1" applyFill="1" applyBorder="1"/>
    <xf numFmtId="0" fontId="12" fillId="0" borderId="0" xfId="0" applyFont="1" applyFill="1" applyBorder="1" applyAlignment="1">
      <alignment wrapText="1"/>
    </xf>
    <xf numFmtId="37" fontId="34" fillId="0" borderId="0" xfId="0" applyNumberFormat="1" applyFont="1" applyFill="1" applyBorder="1" applyAlignment="1">
      <alignment wrapText="1"/>
    </xf>
    <xf numFmtId="0" fontId="17" fillId="0" borderId="0" xfId="0" applyFont="1" applyFill="1" applyBorder="1" applyAlignment="1">
      <alignment horizontal="center" wrapText="1"/>
    </xf>
    <xf numFmtId="0" fontId="8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wrapText="1"/>
    </xf>
    <xf numFmtId="0" fontId="19" fillId="0" borderId="2" xfId="0" applyFont="1" applyFill="1" applyBorder="1" applyAlignment="1">
      <alignment horizontal="center" vertical="center" wrapText="1"/>
    </xf>
    <xf numFmtId="0" fontId="14" fillId="0" borderId="0" xfId="0" applyFont="1" applyFill="1" applyAlignment="1">
      <alignment vertical="center"/>
    </xf>
    <xf numFmtId="2" fontId="12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vertical="center"/>
    </xf>
    <xf numFmtId="37" fontId="13" fillId="0" borderId="0" xfId="0" applyNumberFormat="1" applyFont="1" applyFill="1" applyBorder="1" applyAlignment="1">
      <alignment wrapText="1"/>
    </xf>
    <xf numFmtId="0" fontId="14" fillId="0" borderId="0" xfId="0" applyFont="1" applyFill="1" applyBorder="1" applyAlignment="1">
      <alignment horizontal="center" vertical="center"/>
    </xf>
    <xf numFmtId="2" fontId="14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right" vertical="center" wrapText="1"/>
    </xf>
    <xf numFmtId="0" fontId="18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wrapText="1"/>
    </xf>
    <xf numFmtId="0" fontId="16" fillId="0" borderId="0" xfId="0" applyFont="1" applyFill="1" applyBorder="1" applyAlignment="1">
      <alignment vertical="center" wrapText="1"/>
    </xf>
    <xf numFmtId="21" fontId="12" fillId="0" borderId="0" xfId="0" applyNumberFormat="1" applyFont="1" applyFill="1" applyBorder="1" applyAlignment="1">
      <alignment horizontal="center" vertical="center" wrapText="1"/>
    </xf>
    <xf numFmtId="46" fontId="12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Border="1" applyAlignment="1"/>
    <xf numFmtId="0" fontId="13" fillId="0" borderId="0" xfId="0" applyFont="1" applyFill="1" applyAlignment="1"/>
    <xf numFmtId="0" fontId="34" fillId="0" borderId="0" xfId="0" applyFont="1" applyFill="1"/>
    <xf numFmtId="0" fontId="14" fillId="0" borderId="0" xfId="0" applyFont="1" applyFill="1" applyAlignment="1"/>
    <xf numFmtId="0" fontId="34" fillId="0" borderId="0" xfId="0" applyFont="1" applyFill="1" applyAlignment="1">
      <alignment vertical="center"/>
    </xf>
    <xf numFmtId="0" fontId="69" fillId="0" borderId="0" xfId="0" applyFont="1" applyFill="1"/>
    <xf numFmtId="0" fontId="69" fillId="0" borderId="0" xfId="0" applyFont="1" applyFill="1" applyAlignment="1"/>
    <xf numFmtId="0" fontId="34" fillId="0" borderId="0" xfId="0" applyFont="1" applyFill="1" applyAlignment="1"/>
    <xf numFmtId="0" fontId="34" fillId="0" borderId="0" xfId="0" applyFont="1" applyFill="1" applyBorder="1" applyAlignment="1">
      <alignment vertical="center"/>
    </xf>
    <xf numFmtId="0" fontId="34" fillId="0" borderId="0" xfId="0" applyFont="1" applyFill="1" applyBorder="1" applyAlignment="1"/>
    <xf numFmtId="0" fontId="61" fillId="0" borderId="0" xfId="0" applyFont="1" applyFill="1" applyBorder="1" applyAlignment="1">
      <alignment horizontal="center" wrapText="1"/>
    </xf>
    <xf numFmtId="0" fontId="61" fillId="0" borderId="0" xfId="0" applyFont="1" applyFill="1" applyBorder="1" applyAlignment="1">
      <alignment horizontal="left" wrapText="1"/>
    </xf>
    <xf numFmtId="0" fontId="41" fillId="0" borderId="0" xfId="0" applyFont="1" applyFill="1"/>
    <xf numFmtId="0" fontId="41" fillId="0" borderId="0" xfId="0" applyFont="1" applyFill="1" applyAlignment="1"/>
    <xf numFmtId="0" fontId="41" fillId="0" borderId="0" xfId="0" applyFont="1" applyFill="1" applyBorder="1"/>
    <xf numFmtId="0" fontId="41" fillId="0" borderId="0" xfId="0" applyFont="1" applyFill="1" applyBorder="1" applyAlignment="1"/>
    <xf numFmtId="0" fontId="34" fillId="0" borderId="0" xfId="0" applyFont="1" applyFill="1" applyBorder="1"/>
    <xf numFmtId="0" fontId="13" fillId="0" borderId="0" xfId="0" applyFont="1" applyFill="1" applyBorder="1" applyAlignment="1">
      <alignment horizontal="right"/>
    </xf>
    <xf numFmtId="0" fontId="18" fillId="0" borderId="0" xfId="0" applyFont="1" applyFill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right" wrapText="1"/>
    </xf>
    <xf numFmtId="0" fontId="13" fillId="0" borderId="0" xfId="0" applyFont="1" applyFill="1" applyAlignment="1">
      <alignment horizontal="center"/>
    </xf>
    <xf numFmtId="2" fontId="13" fillId="0" borderId="0" xfId="0" applyNumberFormat="1" applyFont="1" applyFill="1" applyAlignment="1">
      <alignment horizontal="center"/>
    </xf>
    <xf numFmtId="0" fontId="24" fillId="0" borderId="0" xfId="0" applyFont="1" applyFill="1"/>
    <xf numFmtId="0" fontId="24" fillId="0" borderId="0" xfId="0" applyFont="1" applyFill="1" applyAlignment="1"/>
    <xf numFmtId="0" fontId="17" fillId="0" borderId="0" xfId="0" applyFont="1" applyFill="1" applyBorder="1" applyAlignment="1">
      <alignment horizontal="left" wrapText="1"/>
    </xf>
    <xf numFmtId="0" fontId="34" fillId="0" borderId="0" xfId="0" applyFont="1" applyFill="1" applyAlignment="1">
      <alignment horizontal="center"/>
    </xf>
    <xf numFmtId="2" fontId="34" fillId="0" borderId="0" xfId="0" applyNumberFormat="1" applyFont="1" applyFill="1" applyAlignment="1">
      <alignment horizontal="center"/>
    </xf>
    <xf numFmtId="164" fontId="14" fillId="34" borderId="0" xfId="0" applyNumberFormat="1" applyFont="1" applyFill="1" applyBorder="1" applyAlignment="1">
      <alignment horizontal="left" vertical="center" wrapText="1"/>
    </xf>
    <xf numFmtId="164" fontId="14" fillId="34" borderId="0" xfId="0" applyNumberFormat="1" applyFont="1" applyFill="1" applyBorder="1" applyAlignment="1">
      <alignment horizontal="center" vertical="center" wrapText="1"/>
    </xf>
    <xf numFmtId="164" fontId="14" fillId="34" borderId="0" xfId="0" applyNumberFormat="1" applyFont="1" applyFill="1" applyBorder="1" applyAlignment="1">
      <alignment horizontal="center" vertical="center"/>
    </xf>
    <xf numFmtId="2" fontId="14" fillId="34" borderId="0" xfId="0" applyNumberFormat="1" applyFont="1" applyFill="1" applyBorder="1" applyAlignment="1">
      <alignment horizontal="center" vertical="center" wrapText="1"/>
    </xf>
    <xf numFmtId="171" fontId="14" fillId="34" borderId="0" xfId="0" applyNumberFormat="1" applyFont="1" applyFill="1" applyBorder="1" applyAlignment="1">
      <alignment horizontal="center" vertical="center" wrapText="1"/>
    </xf>
    <xf numFmtId="1" fontId="14" fillId="34" borderId="0" xfId="0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horizontal="center" vertical="center" wrapText="1"/>
    </xf>
    <xf numFmtId="2" fontId="14" fillId="34" borderId="0" xfId="0" applyNumberFormat="1" applyFont="1" applyFill="1" applyAlignment="1">
      <alignment horizontal="center" vertical="center"/>
    </xf>
    <xf numFmtId="165" fontId="14" fillId="34" borderId="0" xfId="0" applyNumberFormat="1" applyFont="1" applyFill="1" applyBorder="1" applyAlignment="1">
      <alignment horizontal="center" vertical="center" wrapText="1"/>
    </xf>
    <xf numFmtId="164" fontId="14" fillId="34" borderId="0" xfId="0" applyNumberFormat="1" applyFont="1" applyFill="1" applyBorder="1" applyAlignment="1">
      <alignment horizontal="center"/>
    </xf>
    <xf numFmtId="166" fontId="14" fillId="34" borderId="0" xfId="0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horizontal="center" vertical="center"/>
    </xf>
    <xf numFmtId="2" fontId="14" fillId="34" borderId="0" xfId="0" applyNumberFormat="1" applyFont="1" applyFill="1" applyBorder="1" applyAlignment="1">
      <alignment horizontal="center" vertical="center"/>
    </xf>
    <xf numFmtId="1" fontId="14" fillId="34" borderId="0" xfId="0" applyNumberFormat="1" applyFont="1" applyFill="1" applyBorder="1" applyAlignment="1">
      <alignment horizontal="center" vertical="center"/>
    </xf>
    <xf numFmtId="164" fontId="14" fillId="34" borderId="0" xfId="0" applyNumberFormat="1" applyFont="1" applyFill="1" applyBorder="1" applyAlignment="1">
      <alignment horizontal="left" wrapText="1"/>
    </xf>
    <xf numFmtId="0" fontId="14" fillId="34" borderId="0" xfId="0" applyFont="1" applyFill="1" applyBorder="1" applyAlignment="1">
      <alignment horizontal="center"/>
    </xf>
    <xf numFmtId="164" fontId="14" fillId="34" borderId="0" xfId="0" applyNumberFormat="1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/>
    </xf>
    <xf numFmtId="1" fontId="14" fillId="34" borderId="0" xfId="0" applyNumberFormat="1" applyFont="1" applyFill="1" applyBorder="1" applyAlignment="1">
      <alignment horizontal="center"/>
    </xf>
    <xf numFmtId="0" fontId="14" fillId="34" borderId="0" xfId="0" applyFont="1" applyFill="1" applyBorder="1" applyAlignment="1">
      <alignment horizontal="center" wrapText="1"/>
    </xf>
    <xf numFmtId="2" fontId="14" fillId="34" borderId="0" xfId="0" applyNumberFormat="1" applyFont="1" applyFill="1" applyAlignment="1">
      <alignment horizontal="center"/>
    </xf>
    <xf numFmtId="164" fontId="22" fillId="34" borderId="0" xfId="0" applyNumberFormat="1" applyFont="1" applyFill="1" applyBorder="1" applyAlignment="1">
      <alignment horizontal="center"/>
    </xf>
    <xf numFmtId="2" fontId="22" fillId="34" borderId="0" xfId="0" applyNumberFormat="1" applyFont="1" applyFill="1" applyBorder="1" applyAlignment="1">
      <alignment horizontal="center"/>
    </xf>
    <xf numFmtId="0" fontId="14" fillId="34" borderId="0" xfId="0" applyFont="1" applyFill="1" applyBorder="1"/>
    <xf numFmtId="0" fontId="14" fillId="34" borderId="0" xfId="0" applyFont="1" applyFill="1" applyBorder="1" applyAlignment="1">
      <alignment horizontal="right"/>
    </xf>
    <xf numFmtId="0" fontId="22" fillId="34" borderId="0" xfId="0" applyFont="1" applyFill="1" applyBorder="1"/>
    <xf numFmtId="0" fontId="22" fillId="34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justify" wrapText="1"/>
    </xf>
    <xf numFmtId="0" fontId="14" fillId="34" borderId="0" xfId="0" applyFont="1" applyFill="1" applyBorder="1" applyAlignment="1">
      <alignment horizontal="right" wrapText="1"/>
    </xf>
    <xf numFmtId="0" fontId="14" fillId="34" borderId="0" xfId="0" applyFont="1" applyFill="1"/>
    <xf numFmtId="0" fontId="14" fillId="34" borderId="0" xfId="0" applyFont="1" applyFill="1" applyAlignment="1">
      <alignment horizontal="center"/>
    </xf>
    <xf numFmtId="49" fontId="14" fillId="34" borderId="0" xfId="0" applyNumberFormat="1" applyFont="1" applyFill="1" applyBorder="1" applyAlignment="1">
      <alignment horizontal="center"/>
    </xf>
    <xf numFmtId="0" fontId="12" fillId="34" borderId="0" xfId="0" applyFont="1" applyFill="1" applyBorder="1" applyAlignment="1">
      <alignment horizontal="left" wrapText="1"/>
    </xf>
    <xf numFmtId="0" fontId="12" fillId="34" borderId="0" xfId="0" applyFont="1" applyFill="1" applyBorder="1" applyAlignment="1">
      <alignment horizontal="right" wrapText="1"/>
    </xf>
    <xf numFmtId="0" fontId="12" fillId="34" borderId="0" xfId="0" applyFont="1" applyFill="1" applyBorder="1"/>
    <xf numFmtId="0" fontId="12" fillId="34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left"/>
    </xf>
    <xf numFmtId="0" fontId="22" fillId="34" borderId="0" xfId="0" applyFont="1" applyFill="1" applyBorder="1" applyAlignment="1">
      <alignment horizontal="left"/>
    </xf>
    <xf numFmtId="0" fontId="14" fillId="34" borderId="0" xfId="0" applyFont="1" applyFill="1" applyBorder="1" applyAlignment="1">
      <alignment horizontal="left" wrapText="1"/>
    </xf>
    <xf numFmtId="0" fontId="22" fillId="34" borderId="0" xfId="0" applyFont="1" applyFill="1" applyBorder="1" applyAlignment="1">
      <alignment horizontal="left" wrapText="1"/>
    </xf>
    <xf numFmtId="0" fontId="22" fillId="34" borderId="0" xfId="196" applyFont="1" applyFill="1" applyBorder="1" applyAlignment="1">
      <alignment horizontal="left"/>
    </xf>
    <xf numFmtId="2" fontId="22" fillId="34" borderId="0" xfId="196" applyNumberFormat="1" applyFont="1" applyFill="1" applyBorder="1" applyAlignment="1">
      <alignment horizontal="center"/>
    </xf>
    <xf numFmtId="2" fontId="22" fillId="34" borderId="0" xfId="196" applyNumberFormat="1" applyFont="1" applyFill="1" applyAlignment="1">
      <alignment horizontal="center"/>
    </xf>
    <xf numFmtId="0" fontId="14" fillId="34" borderId="0" xfId="196" applyFont="1" applyFill="1" applyBorder="1" applyAlignment="1">
      <alignment horizontal="left"/>
    </xf>
    <xf numFmtId="2" fontId="14" fillId="34" borderId="0" xfId="196" applyNumberFormat="1" applyFont="1" applyFill="1" applyBorder="1" applyAlignment="1">
      <alignment horizontal="center"/>
    </xf>
    <xf numFmtId="2" fontId="14" fillId="34" borderId="0" xfId="196" applyNumberFormat="1" applyFont="1" applyFill="1" applyAlignment="1">
      <alignment horizontal="center"/>
    </xf>
    <xf numFmtId="2" fontId="16" fillId="34" borderId="0" xfId="0" applyNumberFormat="1" applyFont="1" applyFill="1" applyAlignment="1">
      <alignment horizontal="center"/>
    </xf>
    <xf numFmtId="2" fontId="12" fillId="34" borderId="0" xfId="0" applyNumberFormat="1" applyFont="1" applyFill="1" applyAlignment="1">
      <alignment horizontal="center"/>
    </xf>
    <xf numFmtId="2" fontId="12" fillId="34" borderId="0" xfId="196" applyNumberFormat="1" applyFont="1" applyFill="1" applyBorder="1" applyAlignment="1">
      <alignment horizontal="center"/>
    </xf>
    <xf numFmtId="2" fontId="16" fillId="34" borderId="0" xfId="196" applyNumberFormat="1" applyFont="1" applyFill="1" applyBorder="1" applyAlignment="1">
      <alignment horizontal="center"/>
    </xf>
    <xf numFmtId="2" fontId="16" fillId="34" borderId="0" xfId="196" applyNumberFormat="1" applyFont="1" applyFill="1" applyBorder="1" applyAlignment="1">
      <alignment horizontal="center" wrapText="1"/>
    </xf>
    <xf numFmtId="2" fontId="12" fillId="34" borderId="0" xfId="196" applyNumberFormat="1" applyFont="1" applyFill="1" applyBorder="1" applyAlignment="1">
      <alignment horizontal="center" wrapText="1"/>
    </xf>
    <xf numFmtId="2" fontId="12" fillId="34" borderId="0" xfId="0" applyNumberFormat="1" applyFont="1" applyFill="1" applyBorder="1" applyAlignment="1">
      <alignment horizontal="center"/>
    </xf>
    <xf numFmtId="1" fontId="12" fillId="34" borderId="0" xfId="0" applyNumberFormat="1" applyFont="1" applyFill="1" applyBorder="1" applyAlignment="1">
      <alignment horizontal="left" wrapText="1"/>
    </xf>
    <xf numFmtId="1" fontId="12" fillId="34" borderId="0" xfId="0" applyNumberFormat="1" applyFont="1" applyFill="1" applyBorder="1" applyAlignment="1">
      <alignment horizontal="center" wrapText="1"/>
    </xf>
    <xf numFmtId="1" fontId="12" fillId="34" borderId="0" xfId="0" applyNumberFormat="1" applyFont="1" applyFill="1" applyBorder="1" applyAlignment="1">
      <alignment horizontal="right" wrapText="1"/>
    </xf>
    <xf numFmtId="0" fontId="12" fillId="34" borderId="0" xfId="0" applyFont="1" applyFill="1" applyBorder="1" applyAlignment="1">
      <alignment horizontal="center" wrapText="1"/>
    </xf>
    <xf numFmtId="1" fontId="14" fillId="34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/>
    </xf>
    <xf numFmtId="2" fontId="12" fillId="34" borderId="0" xfId="0" applyNumberFormat="1" applyFont="1" applyFill="1" applyBorder="1" applyAlignment="1">
      <alignment horizontal="center" vertical="center" wrapText="1"/>
    </xf>
    <xf numFmtId="2" fontId="12" fillId="34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wrapText="1"/>
    </xf>
    <xf numFmtId="0" fontId="14" fillId="34" borderId="0" xfId="0" applyFont="1" applyFill="1" applyBorder="1" applyAlignment="1">
      <alignment horizontal="left" vertical="center" wrapText="1"/>
    </xf>
    <xf numFmtId="0" fontId="22" fillId="34" borderId="0" xfId="0" applyFont="1" applyFill="1" applyBorder="1" applyAlignment="1">
      <alignment horizontal="left" vertical="center" wrapText="1"/>
    </xf>
    <xf numFmtId="0" fontId="14" fillId="34" borderId="0" xfId="0" applyFont="1" applyFill="1" applyBorder="1" applyAlignment="1">
      <alignment horizontal="right" vertical="center" wrapText="1"/>
    </xf>
    <xf numFmtId="3" fontId="14" fillId="34" borderId="0" xfId="0" applyNumberFormat="1" applyFont="1" applyFill="1" applyBorder="1" applyAlignment="1">
      <alignment horizontal="center" wrapText="1"/>
    </xf>
    <xf numFmtId="0" fontId="22" fillId="34" borderId="0" xfId="0" applyFont="1" applyFill="1" applyBorder="1" applyAlignment="1">
      <alignment horizontal="right" vertical="center" wrapText="1"/>
    </xf>
    <xf numFmtId="0" fontId="14" fillId="35" borderId="0" xfId="0" applyFont="1" applyFill="1" applyBorder="1" applyAlignment="1">
      <alignment horizontal="center"/>
    </xf>
    <xf numFmtId="0" fontId="12" fillId="34" borderId="0" xfId="0" applyNumberFormat="1" applyFont="1" applyFill="1" applyBorder="1" applyAlignment="1">
      <alignment horizontal="center" wrapText="1"/>
    </xf>
    <xf numFmtId="0" fontId="14" fillId="34" borderId="0" xfId="0" applyNumberFormat="1" applyFont="1" applyFill="1" applyBorder="1" applyAlignment="1">
      <alignment horizontal="center"/>
    </xf>
    <xf numFmtId="167" fontId="14" fillId="34" borderId="0" xfId="0" applyNumberFormat="1" applyFont="1" applyFill="1" applyBorder="1" applyAlignment="1">
      <alignment horizontal="center"/>
    </xf>
    <xf numFmtId="49" fontId="14" fillId="34" borderId="0" xfId="0" applyNumberFormat="1" applyFont="1" applyFill="1" applyBorder="1"/>
    <xf numFmtId="0" fontId="14" fillId="35" borderId="0" xfId="0" applyFont="1" applyFill="1" applyBorder="1" applyAlignment="1">
      <alignment horizontal="left"/>
    </xf>
    <xf numFmtId="0" fontId="14" fillId="35" borderId="0" xfId="0" applyFont="1" applyFill="1" applyBorder="1" applyAlignment="1">
      <alignment horizontal="right"/>
    </xf>
    <xf numFmtId="0" fontId="14" fillId="34" borderId="0" xfId="0" applyFont="1" applyFill="1" applyBorder="1" applyAlignment="1">
      <alignment horizontal="left" vertical="top"/>
    </xf>
    <xf numFmtId="0" fontId="14" fillId="34" borderId="0" xfId="0" applyFont="1" applyFill="1" applyBorder="1" applyAlignment="1">
      <alignment horizontal="right" vertical="top"/>
    </xf>
    <xf numFmtId="0" fontId="14" fillId="34" borderId="0" xfId="0" applyFont="1" applyFill="1" applyBorder="1" applyAlignment="1">
      <alignment vertical="top"/>
    </xf>
    <xf numFmtId="0" fontId="14" fillId="34" borderId="0" xfId="0" applyNumberFormat="1" applyFont="1" applyFill="1" applyBorder="1" applyAlignment="1">
      <alignment vertical="top"/>
    </xf>
    <xf numFmtId="2" fontId="14" fillId="35" borderId="0" xfId="0" applyNumberFormat="1" applyFont="1" applyFill="1" applyBorder="1" applyAlignment="1">
      <alignment horizontal="center"/>
    </xf>
    <xf numFmtId="168" fontId="12" fillId="34" borderId="0" xfId="0" applyNumberFormat="1" applyFont="1" applyFill="1" applyBorder="1" applyAlignment="1">
      <alignment horizontal="center" wrapText="1"/>
    </xf>
    <xf numFmtId="168" fontId="14" fillId="34" borderId="0" xfId="0" applyNumberFormat="1" applyFont="1" applyFill="1" applyAlignment="1">
      <alignment horizontal="center"/>
    </xf>
    <xf numFmtId="0" fontId="12" fillId="34" borderId="0" xfId="0" applyFont="1" applyFill="1"/>
    <xf numFmtId="0" fontId="12" fillId="34" borderId="0" xfId="0" applyFont="1" applyFill="1" applyAlignment="1">
      <alignment horizontal="right"/>
    </xf>
    <xf numFmtId="0" fontId="26" fillId="34" borderId="0" xfId="0" applyFont="1" applyFill="1" applyBorder="1" applyAlignment="1">
      <alignment horizontal="left" wrapText="1"/>
    </xf>
    <xf numFmtId="0" fontId="12" fillId="34" borderId="0" xfId="0" applyFont="1" applyFill="1" applyBorder="1" applyAlignment="1">
      <alignment horizontal="right" vertical="center" wrapText="1"/>
    </xf>
    <xf numFmtId="0" fontId="14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horizontal="left" wrapText="1"/>
    </xf>
    <xf numFmtId="2" fontId="41" fillId="34" borderId="0" xfId="0" applyNumberFormat="1" applyFont="1" applyFill="1" applyBorder="1" applyAlignment="1">
      <alignment horizontal="center" vertical="center" wrapText="1"/>
    </xf>
    <xf numFmtId="2" fontId="41" fillId="34" borderId="0" xfId="0" applyNumberFormat="1" applyFont="1" applyFill="1" applyBorder="1" applyAlignment="1">
      <alignment horizontal="center" wrapText="1"/>
    </xf>
    <xf numFmtId="0" fontId="13" fillId="34" borderId="0" xfId="0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center" wrapText="1"/>
    </xf>
    <xf numFmtId="0" fontId="41" fillId="34" borderId="0" xfId="0" applyFont="1" applyFill="1" applyBorder="1" applyAlignment="1">
      <alignment horizontal="center" wrapText="1"/>
    </xf>
    <xf numFmtId="0" fontId="24" fillId="34" borderId="0" xfId="0" applyFont="1" applyFill="1" applyAlignment="1">
      <alignment horizontal="right" vertical="top"/>
    </xf>
    <xf numFmtId="0" fontId="24" fillId="34" borderId="0" xfId="0" applyFont="1" applyFill="1" applyBorder="1" applyAlignment="1">
      <alignment horizontal="left" vertical="center" wrapText="1"/>
    </xf>
    <xf numFmtId="0" fontId="42" fillId="34" borderId="0" xfId="0" applyFont="1" applyFill="1" applyBorder="1" applyAlignment="1">
      <alignment wrapText="1"/>
    </xf>
    <xf numFmtId="0" fontId="41" fillId="34" borderId="0" xfId="0" applyFont="1" applyFill="1" applyBorder="1" applyAlignment="1">
      <alignment wrapText="1"/>
    </xf>
    <xf numFmtId="2" fontId="42" fillId="34" borderId="0" xfId="0" applyNumberFormat="1" applyFont="1" applyFill="1" applyBorder="1" applyAlignment="1">
      <alignment horizontal="center" wrapText="1"/>
    </xf>
    <xf numFmtId="2" fontId="37" fillId="34" borderId="0" xfId="0" applyNumberFormat="1" applyFont="1" applyFill="1" applyBorder="1" applyAlignment="1">
      <alignment horizontal="center" wrapText="1"/>
    </xf>
    <xf numFmtId="0" fontId="13" fillId="34" borderId="0" xfId="0" applyFont="1" applyFill="1"/>
    <xf numFmtId="0" fontId="41" fillId="34" borderId="0" xfId="0" applyFont="1" applyFill="1"/>
    <xf numFmtId="0" fontId="22" fillId="34" borderId="0" xfId="0" applyFont="1" applyFill="1" applyAlignment="1">
      <alignment horizontal="right" vertical="top"/>
    </xf>
    <xf numFmtId="165" fontId="41" fillId="34" borderId="0" xfId="0" applyNumberFormat="1" applyFont="1" applyFill="1" applyBorder="1" applyAlignment="1">
      <alignment horizontal="center" wrapText="1"/>
    </xf>
    <xf numFmtId="0" fontId="19" fillId="34" borderId="0" xfId="0" applyFont="1" applyFill="1" applyBorder="1" applyAlignment="1">
      <alignment horizontal="left" wrapText="1"/>
    </xf>
    <xf numFmtId="0" fontId="18" fillId="34" borderId="0" xfId="0" applyFont="1" applyFill="1" applyBorder="1" applyAlignment="1">
      <alignment horizontal="left" vertical="top" wrapText="1"/>
    </xf>
    <xf numFmtId="0" fontId="12" fillId="34" borderId="0" xfId="0" applyFont="1" applyFill="1" applyBorder="1" applyAlignment="1">
      <alignment horizontal="left" vertical="top" wrapText="1"/>
    </xf>
    <xf numFmtId="2" fontId="12" fillId="34" borderId="0" xfId="0" applyNumberFormat="1" applyFont="1" applyFill="1" applyBorder="1" applyAlignment="1">
      <alignment horizontal="center" vertical="top" wrapText="1"/>
    </xf>
    <xf numFmtId="0" fontId="12" fillId="34" borderId="0" xfId="0" applyFont="1" applyFill="1" applyBorder="1" applyAlignment="1">
      <alignment vertical="top" wrapText="1"/>
    </xf>
    <xf numFmtId="0" fontId="12" fillId="34" borderId="0" xfId="0" applyFont="1" applyFill="1" applyBorder="1" applyAlignment="1">
      <alignment horizontal="left" vertical="center" wrapText="1"/>
    </xf>
    <xf numFmtId="0" fontId="15" fillId="34" borderId="0" xfId="0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 wrapText="1"/>
    </xf>
    <xf numFmtId="0" fontId="15" fillId="34" borderId="0" xfId="0" applyFont="1" applyFill="1" applyBorder="1" applyAlignment="1">
      <alignment horizontal="left" wrapText="1"/>
    </xf>
    <xf numFmtId="0" fontId="29" fillId="34" borderId="0" xfId="0" applyFont="1" applyFill="1" applyBorder="1"/>
    <xf numFmtId="0" fontId="29" fillId="34" borderId="0" xfId="0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/>
    </xf>
    <xf numFmtId="2" fontId="29" fillId="34" borderId="0" xfId="0" applyNumberFormat="1" applyFont="1" applyFill="1" applyBorder="1" applyAlignment="1">
      <alignment horizontal="center" wrapText="1"/>
    </xf>
    <xf numFmtId="1" fontId="15" fillId="34" borderId="0" xfId="0" applyNumberFormat="1" applyFont="1" applyFill="1" applyBorder="1" applyAlignment="1">
      <alignment horizontal="center" wrapText="1"/>
    </xf>
    <xf numFmtId="2" fontId="12" fillId="34" borderId="0" xfId="0" applyNumberFormat="1" applyFont="1" applyFill="1" applyBorder="1" applyAlignment="1">
      <alignment horizontal="left" wrapText="1"/>
    </xf>
    <xf numFmtId="0" fontId="34" fillId="0" borderId="0" xfId="0" applyFont="1" applyFill="1" applyBorder="1" applyAlignment="1">
      <alignment horizontal="right"/>
    </xf>
    <xf numFmtId="2" fontId="125" fillId="0" borderId="0" xfId="0" applyNumberFormat="1" applyFont="1" applyFill="1" applyBorder="1" applyAlignment="1">
      <alignment horizontal="center" wrapText="1"/>
    </xf>
    <xf numFmtId="164" fontId="22" fillId="34" borderId="0" xfId="0" applyNumberFormat="1" applyFont="1" applyFill="1" applyBorder="1" applyAlignment="1">
      <alignment horizontal="left" vertical="center" wrapText="1"/>
    </xf>
    <xf numFmtId="164" fontId="22" fillId="34" borderId="0" xfId="0" applyNumberFormat="1" applyFont="1" applyFill="1" applyBorder="1" applyAlignment="1">
      <alignment horizontal="center" vertical="center"/>
    </xf>
    <xf numFmtId="2" fontId="22" fillId="34" borderId="0" xfId="0" applyNumberFormat="1" applyFont="1" applyFill="1" applyBorder="1" applyAlignment="1">
      <alignment horizontal="center" vertical="center"/>
    </xf>
    <xf numFmtId="2" fontId="14" fillId="0" borderId="0" xfId="0" applyNumberFormat="1" applyFont="1" applyBorder="1" applyAlignment="1">
      <alignment horizontal="center" vertical="center"/>
    </xf>
    <xf numFmtId="0" fontId="14" fillId="0" borderId="15" xfId="0" applyFont="1" applyFill="1" applyBorder="1" applyAlignment="1">
      <alignment horizontal="center"/>
    </xf>
    <xf numFmtId="0" fontId="14" fillId="34" borderId="15" xfId="0" applyFont="1" applyFill="1" applyBorder="1"/>
    <xf numFmtId="0" fontId="14" fillId="34" borderId="15" xfId="0" applyFont="1" applyFill="1" applyBorder="1" applyAlignment="1">
      <alignment horizontal="center"/>
    </xf>
    <xf numFmtId="0" fontId="22" fillId="0" borderId="2" xfId="0" applyFont="1" applyFill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2" fontId="12" fillId="34" borderId="15" xfId="0" applyNumberFormat="1" applyFont="1" applyFill="1" applyBorder="1" applyAlignment="1">
      <alignment horizontal="center" vertical="center" wrapText="1"/>
    </xf>
    <xf numFmtId="167" fontId="14" fillId="34" borderId="15" xfId="0" applyNumberFormat="1" applyFont="1" applyFill="1" applyBorder="1" applyAlignment="1">
      <alignment horizontal="center"/>
    </xf>
    <xf numFmtId="49" fontId="14" fillId="34" borderId="15" xfId="0" applyNumberFormat="1" applyFont="1" applyFill="1" applyBorder="1"/>
    <xf numFmtId="168" fontId="12" fillId="0" borderId="0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right" vertical="center"/>
    </xf>
    <xf numFmtId="0" fontId="15" fillId="0" borderId="15" xfId="0" applyFont="1" applyBorder="1" applyAlignment="1">
      <alignment wrapText="1"/>
    </xf>
    <xf numFmtId="0" fontId="15" fillId="0" borderId="15" xfId="0" applyFont="1" applyBorder="1" applyAlignment="1">
      <alignment vertical="justify" wrapText="1"/>
    </xf>
    <xf numFmtId="0" fontId="12" fillId="0" borderId="0" xfId="0" applyFont="1" applyFill="1" applyBorder="1" applyAlignment="1">
      <alignment horizontal="left" vertical="top" wrapText="1"/>
    </xf>
    <xf numFmtId="2" fontId="12" fillId="0" borderId="0" xfId="0" applyNumberFormat="1" applyFont="1" applyFill="1" applyBorder="1" applyAlignment="1">
      <alignment horizontal="center" vertical="top" wrapText="1"/>
    </xf>
    <xf numFmtId="164" fontId="22" fillId="0" borderId="0" xfId="0" applyNumberFormat="1" applyFont="1" applyFill="1" applyBorder="1" applyAlignment="1">
      <alignment horizontal="center" vertical="center"/>
    </xf>
    <xf numFmtId="164" fontId="22" fillId="0" borderId="0" xfId="0" applyNumberFormat="1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center" vertical="center"/>
    </xf>
    <xf numFmtId="1" fontId="22" fillId="0" borderId="0" xfId="0" applyNumberFormat="1" applyFont="1" applyFill="1" applyBorder="1" applyAlignment="1">
      <alignment horizontal="center" vertical="center"/>
    </xf>
    <xf numFmtId="0" fontId="40" fillId="0" borderId="0" xfId="0" applyFont="1" applyBorder="1"/>
    <xf numFmtId="0" fontId="12" fillId="34" borderId="0" xfId="0" applyNumberFormat="1" applyFont="1" applyFill="1" applyBorder="1" applyAlignment="1">
      <alignment horizontal="center"/>
    </xf>
    <xf numFmtId="171" fontId="12" fillId="0" borderId="0" xfId="136" applyNumberFormat="1" applyFont="1" applyBorder="1" applyAlignment="1">
      <alignment horizontal="center"/>
    </xf>
    <xf numFmtId="0" fontId="16" fillId="34" borderId="0" xfId="0" applyFont="1" applyFill="1" applyBorder="1" applyAlignment="1">
      <alignment horizontal="left"/>
    </xf>
    <xf numFmtId="0" fontId="14" fillId="34" borderId="0" xfId="136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/>
    </xf>
    <xf numFmtId="0" fontId="14" fillId="0" borderId="0" xfId="136" applyNumberFormat="1" applyFont="1" applyFill="1" applyBorder="1" applyAlignment="1">
      <alignment horizontal="center"/>
    </xf>
    <xf numFmtId="0" fontId="30" fillId="0" borderId="0" xfId="0" applyFont="1" applyAlignment="1">
      <alignment vertical="center" wrapText="1"/>
    </xf>
    <xf numFmtId="2" fontId="12" fillId="0" borderId="0" xfId="0" applyNumberFormat="1" applyFont="1" applyBorder="1" applyAlignment="1">
      <alignment horizontal="left" vertical="center" wrapText="1"/>
    </xf>
    <xf numFmtId="0" fontId="18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center" wrapText="1"/>
    </xf>
    <xf numFmtId="0" fontId="41" fillId="0" borderId="0" xfId="0" applyFont="1" applyFill="1" applyBorder="1" applyAlignment="1">
      <alignment vertical="center"/>
    </xf>
    <xf numFmtId="0" fontId="44" fillId="0" borderId="0" xfId="0" applyFont="1" applyFill="1" applyBorder="1" applyAlignment="1">
      <alignment horizontal="left" wrapText="1"/>
    </xf>
    <xf numFmtId="0" fontId="44" fillId="0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vertical="center"/>
    </xf>
    <xf numFmtId="21" fontId="14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" fontId="16" fillId="0" borderId="0" xfId="0" applyNumberFormat="1" applyFont="1" applyFill="1" applyBorder="1" applyAlignment="1">
      <alignment horizontal="left" wrapText="1"/>
    </xf>
    <xf numFmtId="1" fontId="16" fillId="0" borderId="0" xfId="0" applyNumberFormat="1" applyFont="1" applyFill="1" applyBorder="1" applyAlignment="1">
      <alignment horizontal="right" wrapText="1"/>
    </xf>
    <xf numFmtId="166" fontId="14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horizontal="right" vertical="center"/>
    </xf>
    <xf numFmtId="0" fontId="6" fillId="0" borderId="0" xfId="0" applyFont="1" applyFill="1" applyBorder="1" applyAlignment="1">
      <alignment vertical="center"/>
    </xf>
    <xf numFmtId="0" fontId="71" fillId="0" borderId="0" xfId="0" applyFont="1" applyFill="1" applyBorder="1"/>
    <xf numFmtId="0" fontId="126" fillId="0" borderId="0" xfId="0" applyFont="1" applyFill="1" applyBorder="1"/>
    <xf numFmtId="0" fontId="72" fillId="0" borderId="0" xfId="0" applyFont="1" applyFill="1" applyBorder="1"/>
    <xf numFmtId="0" fontId="4" fillId="0" borderId="0" xfId="0" applyFont="1" applyBorder="1"/>
    <xf numFmtId="0" fontId="127" fillId="0" borderId="0" xfId="0" applyFont="1" applyFill="1" applyBorder="1" applyAlignment="1">
      <alignment vertical="center" textRotation="180"/>
    </xf>
    <xf numFmtId="0" fontId="39" fillId="0" borderId="0" xfId="0" applyFont="1" applyBorder="1" applyAlignment="1">
      <alignment horizontal="right" wrapText="1"/>
    </xf>
    <xf numFmtId="0" fontId="14" fillId="0" borderId="0" xfId="0" applyFont="1" applyBorder="1" applyAlignment="1">
      <alignment horizontal="right" vertical="center"/>
    </xf>
    <xf numFmtId="166" fontId="14" fillId="0" borderId="0" xfId="0" applyNumberFormat="1" applyFont="1" applyBorder="1" applyAlignment="1">
      <alignment horizontal="center" vertical="center"/>
    </xf>
    <xf numFmtId="0" fontId="22" fillId="0" borderId="0" xfId="0" applyFont="1" applyBorder="1" applyAlignment="1">
      <alignment vertical="center"/>
    </xf>
    <xf numFmtId="0" fontId="22" fillId="34" borderId="0" xfId="0" applyFont="1" applyFill="1" applyBorder="1" applyAlignment="1">
      <alignment vertical="center"/>
    </xf>
    <xf numFmtId="0" fontId="22" fillId="34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vertical="center"/>
    </xf>
    <xf numFmtId="166" fontId="14" fillId="0" borderId="0" xfId="0" applyNumberFormat="1" applyFont="1" applyFill="1" applyBorder="1" applyAlignment="1">
      <alignment horizontal="center" vertical="center"/>
    </xf>
    <xf numFmtId="0" fontId="22" fillId="0" borderId="0" xfId="0" applyFont="1" applyFill="1" applyBorder="1" applyAlignment="1">
      <alignment horizontal="right" vertical="center"/>
    </xf>
    <xf numFmtId="0" fontId="52" fillId="0" borderId="0" xfId="0" applyFont="1" applyBorder="1" applyAlignment="1">
      <alignment horizontal="left" vertical="center" wrapText="1"/>
    </xf>
    <xf numFmtId="0" fontId="52" fillId="0" borderId="0" xfId="0" applyFont="1" applyBorder="1" applyAlignment="1">
      <alignment horizontal="center" vertical="center" wrapText="1"/>
    </xf>
    <xf numFmtId="0" fontId="125" fillId="0" borderId="0" xfId="0" applyFont="1" applyFill="1" applyBorder="1" applyAlignment="1">
      <alignment horizontal="center" vertical="center" wrapText="1"/>
    </xf>
    <xf numFmtId="2" fontId="125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29" fillId="0" borderId="0" xfId="0" applyFont="1" applyFill="1" applyBorder="1" applyAlignment="1">
      <alignment horizontal="center"/>
    </xf>
    <xf numFmtId="0" fontId="78" fillId="0" borderId="0" xfId="0" applyFont="1" applyFill="1" applyBorder="1" applyAlignment="1">
      <alignment horizontal="center" vertical="center"/>
    </xf>
    <xf numFmtId="0" fontId="77" fillId="0" borderId="0" xfId="0" applyFont="1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9" xfId="0" applyFill="1" applyBorder="1"/>
    <xf numFmtId="0" fontId="0" fillId="2" borderId="20" xfId="0" applyFill="1" applyBorder="1"/>
    <xf numFmtId="0" fontId="67" fillId="2" borderId="0" xfId="0" applyFont="1" applyFill="1" applyBorder="1"/>
    <xf numFmtId="0" fontId="63" fillId="0" borderId="0" xfId="0" applyFont="1" applyBorder="1" applyAlignment="1">
      <alignment horizontal="center"/>
    </xf>
    <xf numFmtId="0" fontId="0" fillId="2" borderId="21" xfId="0" applyFill="1" applyBorder="1"/>
    <xf numFmtId="0" fontId="0" fillId="2" borderId="15" xfId="0" applyFill="1" applyBorder="1"/>
    <xf numFmtId="0" fontId="0" fillId="2" borderId="22" xfId="0" applyFill="1" applyBorder="1"/>
    <xf numFmtId="0" fontId="0" fillId="0" borderId="17" xfId="0" applyFill="1" applyBorder="1"/>
    <xf numFmtId="0" fontId="0" fillId="0" borderId="18" xfId="0" applyFill="1" applyBorder="1"/>
    <xf numFmtId="0" fontId="77" fillId="2" borderId="0" xfId="0" applyFont="1" applyFill="1" applyBorder="1"/>
    <xf numFmtId="0" fontId="66" fillId="0" borderId="19" xfId="0" applyFont="1" applyBorder="1" applyAlignment="1">
      <alignment wrapText="1"/>
    </xf>
    <xf numFmtId="0" fontId="77" fillId="0" borderId="0" xfId="0" applyFont="1" applyFill="1" applyBorder="1" applyAlignment="1"/>
    <xf numFmtId="176" fontId="77" fillId="0" borderId="0" xfId="0" applyNumberFormat="1" applyFont="1" applyFill="1" applyBorder="1" applyAlignment="1"/>
    <xf numFmtId="49" fontId="77" fillId="0" borderId="0" xfId="0" applyNumberFormat="1" applyFont="1" applyFill="1" applyBorder="1" applyAlignment="1"/>
    <xf numFmtId="0" fontId="77" fillId="2" borderId="0" xfId="0" applyFont="1" applyFill="1" applyBorder="1" applyAlignment="1"/>
    <xf numFmtId="0" fontId="0" fillId="0" borderId="16" xfId="0" applyFill="1" applyBorder="1"/>
    <xf numFmtId="0" fontId="126" fillId="0" borderId="17" xfId="0" applyFont="1" applyFill="1" applyBorder="1"/>
    <xf numFmtId="0" fontId="79" fillId="0" borderId="19" xfId="0" applyFont="1" applyFill="1" applyBorder="1"/>
    <xf numFmtId="0" fontId="78" fillId="0" borderId="0" xfId="0" applyFont="1" applyFill="1" applyBorder="1"/>
    <xf numFmtId="0" fontId="78" fillId="0" borderId="20" xfId="0" applyFont="1" applyFill="1" applyBorder="1"/>
    <xf numFmtId="0" fontId="79" fillId="2" borderId="19" xfId="0" applyFont="1" applyFill="1" applyBorder="1"/>
    <xf numFmtId="0" fontId="78" fillId="2" borderId="0" xfId="0" applyFont="1" applyFill="1" applyBorder="1"/>
    <xf numFmtId="0" fontId="78" fillId="2" borderId="20" xfId="0" applyFont="1" applyFill="1" applyBorder="1"/>
    <xf numFmtId="0" fontId="125" fillId="34" borderId="0" xfId="0" applyFont="1" applyFill="1" applyBorder="1" applyAlignment="1">
      <alignment horizontal="center" vertical="center" wrapText="1"/>
    </xf>
    <xf numFmtId="2" fontId="125" fillId="34" borderId="0" xfId="0" applyNumberFormat="1" applyFont="1" applyFill="1" applyBorder="1" applyAlignment="1">
      <alignment horizontal="center" vertical="center" wrapText="1"/>
    </xf>
    <xf numFmtId="2" fontId="125" fillId="34" borderId="0" xfId="0" applyNumberFormat="1" applyFont="1" applyFill="1" applyBorder="1" applyAlignment="1">
      <alignment horizontal="center"/>
    </xf>
    <xf numFmtId="164" fontId="14" fillId="34" borderId="0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horizontal="right" vertical="center"/>
    </xf>
    <xf numFmtId="1" fontId="12" fillId="0" borderId="0" xfId="0" applyNumberFormat="1" applyFont="1" applyFill="1" applyBorder="1" applyAlignment="1">
      <alignment horizontal="left" vertical="center" wrapText="1"/>
    </xf>
    <xf numFmtId="1" fontId="12" fillId="0" borderId="0" xfId="0" applyNumberFormat="1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vertical="center"/>
    </xf>
    <xf numFmtId="1" fontId="12" fillId="0" borderId="0" xfId="0" applyNumberFormat="1" applyFont="1" applyFill="1" applyBorder="1" applyAlignment="1">
      <alignment horizontal="right" vertical="center" wrapText="1"/>
    </xf>
    <xf numFmtId="0" fontId="12" fillId="0" borderId="0" xfId="0" applyFont="1" applyFill="1" applyBorder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left" vertical="center"/>
    </xf>
    <xf numFmtId="0" fontId="29" fillId="0" borderId="0" xfId="0" applyFont="1" applyFill="1" applyAlignment="1">
      <alignment vertical="center"/>
    </xf>
    <xf numFmtId="0" fontId="29" fillId="0" borderId="0" xfId="0" applyFont="1" applyFill="1" applyAlignment="1">
      <alignment vertical="justify"/>
    </xf>
    <xf numFmtId="2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right" vertical="center" wrapText="1"/>
    </xf>
    <xf numFmtId="2" fontId="29" fillId="0" borderId="0" xfId="0" applyNumberFormat="1" applyFont="1" applyFill="1" applyAlignment="1">
      <alignment horizontal="center" vertical="center"/>
    </xf>
    <xf numFmtId="2" fontId="29" fillId="0" borderId="0" xfId="0" applyNumberFormat="1" applyFont="1" applyFill="1" applyBorder="1" applyAlignment="1">
      <alignment horizontal="center" vertical="center"/>
    </xf>
    <xf numFmtId="0" fontId="29" fillId="0" borderId="0" xfId="0" applyFont="1" applyFill="1" applyBorder="1" applyAlignment="1">
      <alignment vertical="center"/>
    </xf>
    <xf numFmtId="2" fontId="15" fillId="34" borderId="0" xfId="0" applyNumberFormat="1" applyFont="1" applyFill="1" applyBorder="1" applyAlignment="1">
      <alignment horizontal="center" vertical="center" wrapText="1"/>
    </xf>
    <xf numFmtId="0" fontId="15" fillId="34" borderId="0" xfId="0" applyFont="1" applyFill="1" applyBorder="1" applyAlignment="1">
      <alignment horizontal="right" vertical="center" wrapText="1"/>
    </xf>
    <xf numFmtId="2" fontId="29" fillId="34" borderId="0" xfId="0" applyNumberFormat="1" applyFont="1" applyFill="1" applyBorder="1" applyAlignment="1">
      <alignment horizontal="center" vertical="center"/>
    </xf>
    <xf numFmtId="0" fontId="29" fillId="34" borderId="0" xfId="0" applyFont="1" applyFill="1"/>
    <xf numFmtId="0" fontId="70" fillId="0" borderId="0" xfId="0" applyFont="1" applyFill="1" applyBorder="1" applyAlignment="1">
      <alignment vertical="center" textRotation="180"/>
    </xf>
    <xf numFmtId="0" fontId="76" fillId="0" borderId="0" xfId="0" applyFont="1" applyFill="1" applyBorder="1" applyAlignment="1">
      <alignment vertical="center" textRotation="180"/>
    </xf>
    <xf numFmtId="0" fontId="14" fillId="34" borderId="0" xfId="0" applyFont="1" applyFill="1" applyBorder="1" applyAlignment="1">
      <alignment horizontal="left" vertical="center"/>
    </xf>
    <xf numFmtId="0" fontId="16" fillId="0" borderId="0" xfId="0" applyFont="1" applyFill="1" applyBorder="1"/>
    <xf numFmtId="0" fontId="12" fillId="0" borderId="0" xfId="0" applyFont="1" applyFill="1" applyBorder="1"/>
    <xf numFmtId="164" fontId="12" fillId="0" borderId="0" xfId="0" applyNumberFormat="1" applyFont="1" applyFill="1" applyBorder="1" applyAlignment="1">
      <alignment horizontal="center" wrapText="1"/>
    </xf>
    <xf numFmtId="0" fontId="16" fillId="0" borderId="0" xfId="0" applyFont="1" applyFill="1" applyBorder="1" applyAlignment="1">
      <alignment horizontal="right"/>
    </xf>
    <xf numFmtId="164" fontId="14" fillId="0" borderId="0" xfId="0" applyNumberFormat="1" applyFont="1" applyFill="1" applyBorder="1" applyAlignment="1">
      <alignment horizontal="right" vertical="center" wrapText="1"/>
    </xf>
    <xf numFmtId="1" fontId="12" fillId="34" borderId="0" xfId="0" applyNumberFormat="1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center" vertical="center"/>
    </xf>
    <xf numFmtId="21" fontId="128" fillId="0" borderId="0" xfId="0" applyNumberFormat="1" applyFont="1" applyFill="1" applyBorder="1" applyAlignment="1">
      <alignment horizontal="center" vertical="center" wrapText="1"/>
    </xf>
    <xf numFmtId="2" fontId="128" fillId="0" borderId="0" xfId="0" applyNumberFormat="1" applyFont="1" applyFill="1" applyBorder="1" applyAlignment="1">
      <alignment horizontal="center" vertical="center"/>
    </xf>
    <xf numFmtId="0" fontId="128" fillId="0" borderId="0" xfId="0" applyFont="1" applyFill="1" applyBorder="1" applyAlignment="1">
      <alignment horizontal="center" vertical="center" wrapText="1"/>
    </xf>
    <xf numFmtId="0" fontId="129" fillId="0" borderId="0" xfId="0" applyFont="1" applyFill="1" applyBorder="1" applyAlignment="1">
      <alignment horizontal="center" vertical="center" wrapText="1"/>
    </xf>
    <xf numFmtId="0" fontId="128" fillId="0" borderId="0" xfId="0" applyFont="1" applyFill="1" applyBorder="1" applyAlignment="1">
      <alignment vertical="center" wrapText="1"/>
    </xf>
    <xf numFmtId="0" fontId="128" fillId="0" borderId="0" xfId="0" applyFont="1" applyFill="1" applyBorder="1"/>
    <xf numFmtId="0" fontId="130" fillId="0" borderId="0" xfId="0" applyFont="1" applyFill="1" applyBorder="1" applyAlignment="1">
      <alignment horizontal="left" vertical="center" wrapText="1"/>
    </xf>
    <xf numFmtId="0" fontId="129" fillId="0" borderId="0" xfId="0" applyFont="1" applyFill="1" applyBorder="1" applyAlignment="1">
      <alignment horizontal="left"/>
    </xf>
    <xf numFmtId="0" fontId="131" fillId="0" borderId="0" xfId="0" applyFont="1" applyFill="1" applyBorder="1" applyAlignment="1">
      <alignment horizontal="left" vertical="center" wrapText="1"/>
    </xf>
    <xf numFmtId="0" fontId="128" fillId="0" borderId="0" xfId="0" applyFont="1" applyFill="1" applyBorder="1" applyAlignment="1">
      <alignment vertical="center"/>
    </xf>
    <xf numFmtId="0" fontId="132" fillId="0" borderId="0" xfId="0" applyFont="1" applyFill="1" applyBorder="1" applyAlignment="1">
      <alignment horizontal="left" vertical="center" wrapText="1"/>
    </xf>
    <xf numFmtId="0" fontId="128" fillId="0" borderId="0" xfId="0" applyFont="1" applyFill="1" applyBorder="1" applyAlignment="1">
      <alignment horizontal="center" vertical="center"/>
    </xf>
    <xf numFmtId="0" fontId="128" fillId="0" borderId="0" xfId="0" applyFont="1" applyBorder="1"/>
    <xf numFmtId="2" fontId="128" fillId="0" borderId="0" xfId="0" applyNumberFormat="1" applyFont="1" applyBorder="1" applyAlignment="1">
      <alignment horizontal="center"/>
    </xf>
    <xf numFmtId="0" fontId="82" fillId="34" borderId="0" xfId="0" applyFont="1" applyFill="1" applyAlignment="1">
      <alignment horizontal="center" vertical="center"/>
    </xf>
    <xf numFmtId="0" fontId="82" fillId="34" borderId="0" xfId="0" applyFont="1" applyFill="1" applyBorder="1" applyAlignment="1">
      <alignment vertical="center"/>
    </xf>
    <xf numFmtId="0" fontId="83" fillId="0" borderId="1" xfId="0" applyFont="1" applyBorder="1" applyAlignment="1">
      <alignment horizontal="right" wrapText="1"/>
    </xf>
    <xf numFmtId="0" fontId="85" fillId="34" borderId="0" xfId="0" applyFont="1" applyFill="1" applyBorder="1" applyAlignment="1">
      <alignment horizontal="left" vertical="center" wrapText="1"/>
    </xf>
    <xf numFmtId="0" fontId="85" fillId="0" borderId="0" xfId="0" applyFont="1" applyFill="1" applyBorder="1" applyAlignment="1">
      <alignment horizontal="left" vertical="top" wrapText="1"/>
    </xf>
    <xf numFmtId="0" fontId="59" fillId="34" borderId="0" xfId="0" applyFont="1" applyFill="1" applyBorder="1" applyAlignment="1">
      <alignment horizontal="left" vertical="center" wrapText="1"/>
    </xf>
    <xf numFmtId="0" fontId="59" fillId="0" borderId="0" xfId="0" applyFont="1" applyFill="1" applyBorder="1" applyAlignment="1">
      <alignment horizontal="left" vertical="center" wrapText="1"/>
    </xf>
    <xf numFmtId="0" fontId="86" fillId="34" borderId="0" xfId="0" applyFont="1" applyFill="1" applyBorder="1" applyAlignment="1">
      <alignment horizontal="left" vertical="top" wrapText="1"/>
    </xf>
    <xf numFmtId="0" fontId="86" fillId="0" borderId="0" xfId="0" applyFont="1" applyFill="1" applyBorder="1" applyAlignment="1">
      <alignment horizontal="left" vertical="top" wrapText="1"/>
    </xf>
    <xf numFmtId="0" fontId="87" fillId="34" borderId="0" xfId="0" applyFont="1" applyFill="1" applyAlignment="1">
      <alignment horizontal="left"/>
    </xf>
    <xf numFmtId="0" fontId="84" fillId="0" borderId="0" xfId="0" applyFont="1" applyAlignment="1">
      <alignment horizontal="left"/>
    </xf>
    <xf numFmtId="0" fontId="29" fillId="0" borderId="0" xfId="0" applyFont="1" applyFill="1" applyAlignment="1">
      <alignment horizontal="center"/>
    </xf>
    <xf numFmtId="0" fontId="82" fillId="0" borderId="0" xfId="0" applyFont="1" applyFill="1" applyAlignment="1">
      <alignment horizontal="center" vertical="center"/>
    </xf>
    <xf numFmtId="0" fontId="87" fillId="0" borderId="0" xfId="0" applyFont="1" applyFill="1" applyAlignment="1">
      <alignment horizontal="left"/>
    </xf>
    <xf numFmtId="0" fontId="59" fillId="34" borderId="0" xfId="0" applyFont="1" applyFill="1" applyBorder="1" applyAlignment="1">
      <alignment horizontal="left" vertical="justify" wrapText="1"/>
    </xf>
    <xf numFmtId="2" fontId="15" fillId="34" borderId="0" xfId="0" applyNumberFormat="1" applyFont="1" applyFill="1" applyBorder="1" applyAlignment="1">
      <alignment horizontal="center" vertical="justify" wrapText="1"/>
    </xf>
    <xf numFmtId="0" fontId="29" fillId="34" borderId="0" xfId="0" applyFont="1" applyFill="1" applyAlignment="1">
      <alignment vertical="center"/>
    </xf>
    <xf numFmtId="0" fontId="85" fillId="34" borderId="0" xfId="0" applyFont="1" applyFill="1" applyBorder="1" applyAlignment="1">
      <alignment horizontal="left" vertical="justify" wrapText="1"/>
    </xf>
    <xf numFmtId="2" fontId="29" fillId="34" borderId="0" xfId="0" applyNumberFormat="1" applyFont="1" applyFill="1" applyAlignment="1">
      <alignment horizontal="center" vertical="justify"/>
    </xf>
    <xf numFmtId="0" fontId="59" fillId="34" borderId="15" xfId="0" applyFont="1" applyFill="1" applyBorder="1" applyAlignment="1">
      <alignment horizontal="left" vertical="center" wrapText="1"/>
    </xf>
    <xf numFmtId="2" fontId="15" fillId="34" borderId="15" xfId="0" applyNumberFormat="1" applyFont="1" applyFill="1" applyBorder="1" applyAlignment="1">
      <alignment horizontal="center" vertical="center" wrapText="1"/>
    </xf>
    <xf numFmtId="0" fontId="90" fillId="0" borderId="0" xfId="0" applyFont="1" applyAlignment="1">
      <alignment vertical="center"/>
    </xf>
    <xf numFmtId="0" fontId="90" fillId="0" borderId="0" xfId="0" applyFont="1" applyFill="1"/>
    <xf numFmtId="49" fontId="26" fillId="0" borderId="0" xfId="0" applyNumberFormat="1" applyFont="1" applyFill="1" applyBorder="1" applyAlignment="1">
      <alignment vertical="center" wrapText="1"/>
    </xf>
    <xf numFmtId="0" fontId="91" fillId="0" borderId="0" xfId="0" applyFont="1" applyAlignment="1">
      <alignment horizontal="left"/>
    </xf>
    <xf numFmtId="0" fontId="24" fillId="0" borderId="0" xfId="0" applyFont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2" fontId="14" fillId="0" borderId="0" xfId="0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9" fillId="0" borderId="0" xfId="0" applyFont="1" applyFill="1" applyBorder="1" applyAlignment="1">
      <alignment horizontal="left" wrapText="1"/>
    </xf>
    <xf numFmtId="0" fontId="12" fillId="0" borderId="0" xfId="0" applyFont="1" applyFill="1" applyBorder="1" applyAlignment="1">
      <alignment horizontal="right"/>
    </xf>
    <xf numFmtId="0" fontId="14" fillId="0" borderId="0" xfId="0" applyFont="1" applyFill="1" applyAlignment="1">
      <alignment horizontal="right"/>
    </xf>
    <xf numFmtId="0" fontId="6" fillId="0" borderId="0" xfId="0" applyFont="1" applyFill="1"/>
    <xf numFmtId="0" fontId="42" fillId="0" borderId="0" xfId="0" applyFont="1" applyBorder="1" applyAlignment="1">
      <alignment wrapText="1"/>
    </xf>
    <xf numFmtId="1" fontId="12" fillId="34" borderId="0" xfId="0" applyNumberFormat="1" applyFont="1" applyFill="1" applyBorder="1" applyAlignment="1">
      <alignment horizontal="left" vertical="center" wrapText="1"/>
    </xf>
    <xf numFmtId="1" fontId="12" fillId="34" borderId="0" xfId="0" applyNumberFormat="1" applyFont="1" applyFill="1" applyBorder="1" applyAlignment="1">
      <alignment horizontal="right" vertical="center" wrapText="1"/>
    </xf>
    <xf numFmtId="0" fontId="12" fillId="34" borderId="0" xfId="0" applyFont="1" applyFill="1" applyAlignment="1">
      <alignment vertical="center"/>
    </xf>
    <xf numFmtId="168" fontId="12" fillId="34" borderId="0" xfId="0" applyNumberFormat="1" applyFont="1" applyFill="1" applyBorder="1" applyAlignment="1">
      <alignment horizontal="center" vertical="center" wrapText="1"/>
    </xf>
    <xf numFmtId="0" fontId="12" fillId="34" borderId="0" xfId="0" applyFont="1" applyFill="1" applyAlignment="1">
      <alignment horizontal="right" vertical="center"/>
    </xf>
    <xf numFmtId="0" fontId="16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right" vertical="center" wrapText="1"/>
    </xf>
    <xf numFmtId="0" fontId="133" fillId="34" borderId="0" xfId="0" applyFont="1" applyFill="1" applyBorder="1" applyAlignment="1">
      <alignment horizontal="center" vertical="center" wrapText="1"/>
    </xf>
    <xf numFmtId="0" fontId="37" fillId="0" borderId="0" xfId="0" applyFont="1" applyFill="1" applyAlignment="1"/>
    <xf numFmtId="0" fontId="37" fillId="0" borderId="0" xfId="0" applyFont="1" applyFill="1" applyBorder="1" applyAlignment="1">
      <alignment horizontal="right" wrapText="1"/>
    </xf>
    <xf numFmtId="2" fontId="133" fillId="34" borderId="0" xfId="0" applyNumberFormat="1" applyFont="1" applyFill="1" applyBorder="1" applyAlignment="1">
      <alignment horizontal="center" vertical="center" wrapText="1"/>
    </xf>
    <xf numFmtId="164" fontId="125" fillId="0" borderId="0" xfId="0" applyNumberFormat="1" applyFont="1" applyFill="1" applyBorder="1" applyAlignment="1">
      <alignment horizontal="center" vertical="center"/>
    </xf>
    <xf numFmtId="0" fontId="125" fillId="0" borderId="0" xfId="0" applyFont="1" applyFill="1" applyBorder="1" applyAlignment="1">
      <alignment horizontal="center" vertical="center"/>
    </xf>
    <xf numFmtId="0" fontId="94" fillId="0" borderId="0" xfId="0" applyFont="1" applyBorder="1"/>
    <xf numFmtId="0" fontId="95" fillId="0" borderId="0" xfId="0" applyFont="1" applyBorder="1" applyAlignment="1">
      <alignment wrapText="1"/>
    </xf>
    <xf numFmtId="0" fontId="94" fillId="0" borderId="0" xfId="0" applyFont="1" applyBorder="1" applyAlignment="1"/>
    <xf numFmtId="0" fontId="94" fillId="0" borderId="0" xfId="0" applyFont="1" applyBorder="1" applyAlignment="1">
      <alignment horizontal="left" wrapText="1"/>
    </xf>
    <xf numFmtId="0" fontId="95" fillId="0" borderId="0" xfId="0" applyFont="1" applyBorder="1" applyAlignment="1">
      <alignment horizontal="left" wrapText="1"/>
    </xf>
    <xf numFmtId="49" fontId="95" fillId="0" borderId="0" xfId="0" applyNumberFormat="1" applyFont="1" applyBorder="1" applyAlignment="1">
      <alignment horizontal="left" wrapText="1"/>
    </xf>
    <xf numFmtId="164" fontId="94" fillId="0" borderId="0" xfId="0" applyNumberFormat="1" applyFont="1" applyBorder="1" applyAlignment="1">
      <alignment horizontal="left" wrapText="1"/>
    </xf>
    <xf numFmtId="0" fontId="94" fillId="0" borderId="0" xfId="0" applyFont="1" applyBorder="1" applyAlignment="1">
      <alignment horizontal="center"/>
    </xf>
    <xf numFmtId="0" fontId="95" fillId="0" borderId="0" xfId="0" applyFont="1" applyBorder="1" applyAlignment="1">
      <alignment horizontal="center" wrapText="1"/>
    </xf>
    <xf numFmtId="0" fontId="95" fillId="0" borderId="0" xfId="0" applyFont="1" applyBorder="1" applyAlignment="1">
      <alignment horizontal="center"/>
    </xf>
    <xf numFmtId="0" fontId="94" fillId="0" borderId="0" xfId="0" applyFont="1" applyBorder="1" applyAlignment="1">
      <alignment horizontal="right" wrapText="1"/>
    </xf>
    <xf numFmtId="0" fontId="94" fillId="0" borderId="0" xfId="0" applyFont="1"/>
    <xf numFmtId="0" fontId="94" fillId="0" borderId="0" xfId="0" applyFont="1" applyAlignment="1">
      <alignment wrapText="1"/>
    </xf>
    <xf numFmtId="0" fontId="94" fillId="0" borderId="0" xfId="0" applyFont="1" applyAlignment="1">
      <alignment horizontal="left" wrapText="1"/>
    </xf>
    <xf numFmtId="0" fontId="94" fillId="0" borderId="0" xfId="0" applyFont="1" applyBorder="1" applyAlignment="1">
      <alignment horizontal="center" wrapText="1"/>
    </xf>
    <xf numFmtId="164" fontId="94" fillId="0" borderId="0" xfId="0" applyNumberFormat="1" applyFont="1" applyBorder="1" applyAlignment="1">
      <alignment horizontal="center"/>
    </xf>
    <xf numFmtId="0" fontId="94" fillId="0" borderId="0" xfId="0" applyFont="1" applyAlignment="1"/>
    <xf numFmtId="0" fontId="14" fillId="35" borderId="0" xfId="0" applyFont="1" applyFill="1" applyBorder="1"/>
    <xf numFmtId="2" fontId="51" fillId="34" borderId="0" xfId="0" applyNumberFormat="1" applyFont="1" applyFill="1" applyBorder="1" applyAlignment="1">
      <alignment horizontal="center"/>
    </xf>
    <xf numFmtId="164" fontId="133" fillId="34" borderId="0" xfId="0" applyNumberFormat="1" applyFont="1" applyFill="1" applyBorder="1" applyAlignment="1">
      <alignment horizontal="center" vertical="center" wrapText="1"/>
    </xf>
    <xf numFmtId="164" fontId="133" fillId="0" borderId="0" xfId="0" applyNumberFormat="1" applyFont="1" applyFill="1" applyBorder="1" applyAlignment="1">
      <alignment horizontal="center" wrapText="1"/>
    </xf>
    <xf numFmtId="164" fontId="133" fillId="34" borderId="0" xfId="0" applyNumberFormat="1" applyFont="1" applyFill="1" applyBorder="1" applyAlignment="1">
      <alignment horizontal="center" wrapText="1"/>
    </xf>
    <xf numFmtId="0" fontId="14" fillId="0" borderId="15" xfId="0" applyFont="1" applyFill="1" applyBorder="1" applyAlignment="1">
      <alignment horizontal="center" vertical="center"/>
    </xf>
    <xf numFmtId="164" fontId="125" fillId="34" borderId="0" xfId="0" applyNumberFormat="1" applyFont="1" applyFill="1" applyBorder="1" applyAlignment="1">
      <alignment horizontal="center" vertical="center" wrapText="1"/>
    </xf>
    <xf numFmtId="0" fontId="125" fillId="34" borderId="0" xfId="0" applyFont="1" applyFill="1" applyBorder="1" applyAlignment="1">
      <alignment horizontal="center"/>
    </xf>
    <xf numFmtId="164" fontId="125" fillId="34" borderId="0" xfId="0" applyNumberFormat="1" applyFont="1" applyFill="1" applyBorder="1" applyAlignment="1">
      <alignment horizontal="center" vertical="center"/>
    </xf>
    <xf numFmtId="164" fontId="133" fillId="0" borderId="0" xfId="0" applyNumberFormat="1" applyFont="1" applyFill="1" applyBorder="1" applyAlignment="1">
      <alignment horizontal="center" vertical="center" wrapText="1"/>
    </xf>
    <xf numFmtId="2" fontId="51" fillId="0" borderId="0" xfId="0" applyNumberFormat="1" applyFont="1" applyFill="1" applyBorder="1" applyAlignment="1">
      <alignment horizontal="center"/>
    </xf>
    <xf numFmtId="0" fontId="133" fillId="0" borderId="0" xfId="0" applyFont="1" applyFill="1" applyBorder="1" applyAlignment="1">
      <alignment horizontal="center" wrapText="1"/>
    </xf>
    <xf numFmtId="164" fontId="22" fillId="0" borderId="0" xfId="0" applyNumberFormat="1" applyFont="1" applyFill="1" applyBorder="1" applyAlignment="1">
      <alignment horizontal="center"/>
    </xf>
    <xf numFmtId="0" fontId="133" fillId="34" borderId="0" xfId="0" applyFont="1" applyFill="1" applyBorder="1" applyAlignment="1">
      <alignment horizontal="center" wrapText="1"/>
    </xf>
    <xf numFmtId="0" fontId="133" fillId="0" borderId="0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left" vertical="center" wrapText="1"/>
    </xf>
    <xf numFmtId="0" fontId="75" fillId="0" borderId="0" xfId="0" applyFont="1" applyAlignment="1">
      <alignment vertical="center"/>
    </xf>
    <xf numFmtId="49" fontId="14" fillId="0" borderId="0" xfId="0" applyNumberFormat="1" applyFont="1" applyFill="1"/>
    <xf numFmtId="0" fontId="20" fillId="0" borderId="0" xfId="0" applyFont="1" applyFill="1" applyBorder="1" applyAlignment="1"/>
    <xf numFmtId="0" fontId="33" fillId="0" borderId="0" xfId="0" applyFont="1" applyFill="1" applyBorder="1"/>
    <xf numFmtId="0" fontId="29" fillId="0" borderId="0" xfId="0" applyFont="1" applyFill="1" applyAlignment="1">
      <alignment horizontal="right"/>
    </xf>
    <xf numFmtId="0" fontId="29" fillId="0" borderId="2" xfId="0" quotePrefix="1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right"/>
    </xf>
    <xf numFmtId="0" fontId="23" fillId="0" borderId="0" xfId="0" applyFont="1" applyFill="1"/>
    <xf numFmtId="0" fontId="24" fillId="0" borderId="0" xfId="0" applyFont="1" applyFill="1" applyBorder="1" applyAlignment="1">
      <alignment horizontal="left"/>
    </xf>
    <xf numFmtId="0" fontId="23" fillId="0" borderId="0" xfId="0" applyFont="1" applyFill="1" applyBorder="1"/>
    <xf numFmtId="0" fontId="26" fillId="0" borderId="0" xfId="0" applyFont="1" applyFill="1" applyAlignment="1">
      <alignment wrapText="1"/>
    </xf>
    <xf numFmtId="175" fontId="14" fillId="0" borderId="0" xfId="0" applyNumberFormat="1" applyFont="1" applyFill="1" applyBorder="1" applyAlignment="1">
      <alignment horizontal="center"/>
    </xf>
    <xf numFmtId="0" fontId="44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/>
    </xf>
    <xf numFmtId="21" fontId="14" fillId="0" borderId="0" xfId="0" applyNumberFormat="1" applyFont="1" applyFill="1" applyBorder="1" applyAlignment="1">
      <alignment horizontal="center" vertical="center" wrapText="1"/>
    </xf>
    <xf numFmtId="0" fontId="18" fillId="0" borderId="15" xfId="0" applyFont="1" applyFill="1" applyBorder="1" applyAlignment="1">
      <alignment horizontal="left" vertical="center" wrapText="1"/>
    </xf>
    <xf numFmtId="2" fontId="12" fillId="0" borderId="15" xfId="0" applyNumberFormat="1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 vertical="justify" wrapText="1"/>
    </xf>
    <xf numFmtId="2" fontId="12" fillId="0" borderId="0" xfId="0" applyNumberFormat="1" applyFont="1" applyFill="1" applyBorder="1" applyAlignment="1">
      <alignment horizontal="center" vertical="justify" wrapText="1"/>
    </xf>
    <xf numFmtId="0" fontId="14" fillId="0" borderId="0" xfId="0" applyFont="1" applyFill="1" applyAlignment="1">
      <alignment horizontal="center" vertical="justify"/>
    </xf>
    <xf numFmtId="0" fontId="13" fillId="0" borderId="0" xfId="0" applyFont="1" applyFill="1" applyAlignment="1">
      <alignment vertical="center"/>
    </xf>
    <xf numFmtId="164" fontId="125" fillId="0" borderId="0" xfId="0" applyNumberFormat="1" applyFont="1" applyFill="1" applyBorder="1" applyAlignment="1">
      <alignment horizontal="center" vertical="center" wrapText="1"/>
    </xf>
    <xf numFmtId="164" fontId="125" fillId="0" borderId="0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left" vertical="center" wrapText="1"/>
    </xf>
    <xf numFmtId="2" fontId="3" fillId="0" borderId="0" xfId="0" applyNumberFormat="1" applyFont="1"/>
    <xf numFmtId="2" fontId="14" fillId="34" borderId="15" xfId="0" applyNumberFormat="1" applyFont="1" applyFill="1" applyBorder="1" applyAlignment="1">
      <alignment horizontal="center" vertical="center"/>
    </xf>
    <xf numFmtId="1" fontId="14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right" wrapText="1"/>
    </xf>
    <xf numFmtId="0" fontId="22" fillId="0" borderId="0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right" vertical="center" wrapText="1"/>
    </xf>
    <xf numFmtId="49" fontId="26" fillId="0" borderId="0" xfId="0" applyNumberFormat="1" applyFont="1" applyFill="1" applyBorder="1" applyAlignment="1">
      <alignment horizontal="left" vertical="center" wrapText="1"/>
    </xf>
    <xf numFmtId="0" fontId="6" fillId="0" borderId="0" xfId="0" applyFont="1" applyFill="1" applyBorder="1"/>
    <xf numFmtId="2" fontId="16" fillId="34" borderId="0" xfId="0" applyNumberFormat="1" applyFont="1" applyFill="1" applyBorder="1" applyAlignment="1">
      <alignment horizontal="center" vertical="center" wrapText="1"/>
    </xf>
    <xf numFmtId="2" fontId="16" fillId="0" borderId="0" xfId="0" applyNumberFormat="1" applyFont="1" applyFill="1" applyBorder="1" applyAlignment="1">
      <alignment horizontal="center" vertical="center" wrapText="1"/>
    </xf>
    <xf numFmtId="2" fontId="12" fillId="34" borderId="0" xfId="0" applyNumberFormat="1" applyFont="1" applyFill="1" applyBorder="1" applyAlignment="1">
      <alignment horizontal="center" vertical="justify" wrapText="1"/>
    </xf>
    <xf numFmtId="2" fontId="14" fillId="0" borderId="0" xfId="0" quotePrefix="1" applyNumberFormat="1" applyFont="1" applyFill="1" applyBorder="1" applyAlignment="1">
      <alignment horizontal="center" vertical="center" wrapText="1"/>
    </xf>
    <xf numFmtId="2" fontId="14" fillId="34" borderId="0" xfId="0" quotePrefix="1" applyNumberFormat="1" applyFont="1" applyFill="1" applyBorder="1" applyAlignment="1">
      <alignment horizontal="center" vertical="center" wrapText="1"/>
    </xf>
    <xf numFmtId="2" fontId="14" fillId="0" borderId="0" xfId="0" applyNumberFormat="1" applyFont="1" applyFill="1"/>
    <xf numFmtId="2" fontId="14" fillId="34" borderId="0" xfId="0" applyNumberFormat="1" applyFont="1" applyFill="1" applyAlignment="1">
      <alignment horizontal="right"/>
    </xf>
    <xf numFmtId="2" fontId="14" fillId="0" borderId="0" xfId="0" applyNumberFormat="1" applyFont="1" applyFill="1" applyAlignment="1">
      <alignment horizontal="right"/>
    </xf>
    <xf numFmtId="2" fontId="14" fillId="34" borderId="0" xfId="0" applyNumberFormat="1" applyFont="1" applyFill="1" applyBorder="1"/>
    <xf numFmtId="164" fontId="125" fillId="34" borderId="0" xfId="0" applyNumberFormat="1" applyFont="1" applyFill="1" applyBorder="1" applyAlignment="1">
      <alignment horizontal="center"/>
    </xf>
    <xf numFmtId="164" fontId="12" fillId="0" borderId="0" xfId="0" applyNumberFormat="1" applyFont="1" applyFill="1" applyBorder="1" applyAlignment="1">
      <alignment horizontal="center" vertical="center" wrapText="1"/>
    </xf>
    <xf numFmtId="1" fontId="22" fillId="34" borderId="0" xfId="0" applyNumberFormat="1" applyFont="1" applyFill="1" applyBorder="1" applyAlignment="1">
      <alignment horizontal="center" vertical="center"/>
    </xf>
    <xf numFmtId="1" fontId="22" fillId="34" borderId="0" xfId="0" applyNumberFormat="1" applyFont="1" applyFill="1" applyBorder="1" applyAlignment="1">
      <alignment horizontal="center" wrapText="1"/>
    </xf>
    <xf numFmtId="2" fontId="22" fillId="34" borderId="0" xfId="0" applyNumberFormat="1" applyFont="1" applyFill="1" applyBorder="1" applyAlignment="1">
      <alignment horizontal="center" wrapText="1"/>
    </xf>
    <xf numFmtId="0" fontId="22" fillId="0" borderId="0" xfId="0" applyFont="1" applyBorder="1" applyAlignment="1">
      <alignment horizontal="center" vertical="center" wrapText="1"/>
    </xf>
    <xf numFmtId="0" fontId="14" fillId="0" borderId="0" xfId="0" applyNumberFormat="1" applyFont="1" applyBorder="1" applyAlignment="1">
      <alignment horizontal="center" wrapText="1"/>
    </xf>
    <xf numFmtId="1" fontId="12" fillId="0" borderId="0" xfId="0" applyNumberFormat="1" applyFont="1" applyFill="1" applyBorder="1" applyAlignment="1">
      <alignment horizontal="left" wrapText="1"/>
    </xf>
    <xf numFmtId="1" fontId="12" fillId="0" borderId="0" xfId="0" applyNumberFormat="1" applyFont="1" applyFill="1" applyBorder="1" applyAlignment="1">
      <alignment horizontal="right" wrapText="1"/>
    </xf>
    <xf numFmtId="2" fontId="14" fillId="0" borderId="0" xfId="0" applyNumberFormat="1" applyFont="1" applyFill="1" applyBorder="1" applyAlignment="1">
      <alignment horizontal="center" vertical="top"/>
    </xf>
    <xf numFmtId="2" fontId="14" fillId="34" borderId="0" xfId="0" applyNumberFormat="1" applyFont="1" applyFill="1" applyBorder="1" applyAlignment="1">
      <alignment horizontal="center" vertical="top"/>
    </xf>
    <xf numFmtId="164" fontId="133" fillId="0" borderId="0" xfId="0" applyNumberFormat="1" applyFont="1" applyFill="1" applyBorder="1" applyAlignment="1">
      <alignment horizontal="center" vertical="center"/>
    </xf>
    <xf numFmtId="0" fontId="33" fillId="0" borderId="0" xfId="0" applyFont="1" applyBorder="1" applyAlignment="1">
      <alignment horizontal="left" wrapText="1"/>
    </xf>
    <xf numFmtId="0" fontId="14" fillId="0" borderId="0" xfId="0" applyNumberFormat="1" applyFont="1" applyFill="1" applyBorder="1" applyAlignment="1">
      <alignment horizontal="center" wrapText="1"/>
    </xf>
    <xf numFmtId="0" fontId="14" fillId="0" borderId="0" xfId="0" applyNumberFormat="1" applyFont="1" applyFill="1" applyBorder="1" applyAlignment="1">
      <alignment horizontal="center"/>
    </xf>
    <xf numFmtId="169" fontId="14" fillId="0" borderId="0" xfId="0" applyNumberFormat="1" applyFont="1" applyFill="1" applyBorder="1" applyAlignment="1">
      <alignment horizontal="center"/>
    </xf>
    <xf numFmtId="0" fontId="22" fillId="0" borderId="0" xfId="0" applyFont="1" applyFill="1" applyBorder="1" applyAlignment="1">
      <alignment horizontal="center" vertical="center"/>
    </xf>
    <xf numFmtId="166" fontId="22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94" fillId="0" borderId="0" xfId="0" applyFont="1" applyBorder="1" applyAlignment="1">
      <alignment horizontal="left" vertical="center"/>
    </xf>
    <xf numFmtId="164" fontId="14" fillId="34" borderId="0" xfId="0" applyNumberFormat="1" applyFont="1" applyFill="1" applyAlignment="1">
      <alignment horizontal="center" vertical="center"/>
    </xf>
    <xf numFmtId="0" fontId="14" fillId="34" borderId="0" xfId="0" applyFont="1" applyFill="1" applyAlignment="1">
      <alignment horizontal="center" vertical="center"/>
    </xf>
    <xf numFmtId="0" fontId="95" fillId="0" borderId="0" xfId="0" applyFont="1" applyBorder="1" applyAlignment="1">
      <alignment horizontal="right" wrapText="1"/>
    </xf>
    <xf numFmtId="0" fontId="29" fillId="0" borderId="0" xfId="0" applyFont="1" applyBorder="1" applyAlignment="1">
      <alignment wrapText="1"/>
    </xf>
    <xf numFmtId="0" fontId="16" fillId="34" borderId="0" xfId="0" applyFont="1" applyFill="1" applyBorder="1" applyAlignment="1">
      <alignment horizontal="left" vertical="top" wrapText="1"/>
    </xf>
    <xf numFmtId="0" fontId="16" fillId="0" borderId="0" xfId="0" applyFont="1" applyFill="1" applyBorder="1" applyAlignment="1">
      <alignment horizontal="left"/>
    </xf>
    <xf numFmtId="0" fontId="12" fillId="34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 wrapText="1"/>
    </xf>
    <xf numFmtId="164" fontId="22" fillId="34" borderId="0" xfId="0" applyNumberFormat="1" applyFont="1" applyFill="1" applyBorder="1" applyAlignment="1">
      <alignment horizontal="right" vertical="center" wrapText="1"/>
    </xf>
    <xf numFmtId="164" fontId="22" fillId="0" borderId="0" xfId="0" applyNumberFormat="1" applyFont="1" applyFill="1" applyBorder="1" applyAlignment="1">
      <alignment horizontal="left" vertical="center" wrapText="1"/>
    </xf>
    <xf numFmtId="164" fontId="22" fillId="0" borderId="0" xfId="0" applyNumberFormat="1" applyFont="1" applyFill="1" applyBorder="1" applyAlignment="1">
      <alignment horizontal="right" vertical="center" wrapText="1"/>
    </xf>
    <xf numFmtId="0" fontId="22" fillId="0" borderId="0" xfId="0" applyFont="1" applyFill="1" applyBorder="1" applyAlignment="1">
      <alignment horizontal="left" vertical="center"/>
    </xf>
    <xf numFmtId="0" fontId="133" fillId="34" borderId="0" xfId="0" applyFont="1" applyFill="1" applyBorder="1" applyAlignment="1">
      <alignment vertical="center" wrapText="1"/>
    </xf>
    <xf numFmtId="0" fontId="133" fillId="34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center" wrapText="1"/>
    </xf>
    <xf numFmtId="2" fontId="15" fillId="0" borderId="0" xfId="0" applyNumberFormat="1" applyFont="1" applyFill="1" applyBorder="1" applyAlignment="1">
      <alignment horizontal="center" wrapText="1"/>
    </xf>
    <xf numFmtId="1" fontId="15" fillId="0" borderId="0" xfId="0" applyNumberFormat="1" applyFont="1" applyFill="1" applyBorder="1" applyAlignment="1">
      <alignment horizontal="center" wrapText="1"/>
    </xf>
    <xf numFmtId="0" fontId="16" fillId="34" borderId="0" xfId="0" applyFont="1" applyFill="1" applyBorder="1" applyAlignment="1">
      <alignment horizontal="center" vertical="center" wrapText="1"/>
    </xf>
    <xf numFmtId="1" fontId="14" fillId="0" borderId="0" xfId="0" applyNumberFormat="1" applyFont="1" applyFill="1" applyBorder="1" applyAlignment="1">
      <alignment horizontal="center" wrapText="1"/>
    </xf>
    <xf numFmtId="2" fontId="14" fillId="0" borderId="0" xfId="0" applyNumberFormat="1" applyFont="1" applyFill="1" applyBorder="1" applyAlignment="1">
      <alignment horizontal="center" wrapText="1"/>
    </xf>
    <xf numFmtId="0" fontId="14" fillId="0" borderId="0" xfId="0" applyFont="1" applyFill="1" applyBorder="1" applyAlignment="1">
      <alignment horizontal="right" wrapText="1"/>
    </xf>
    <xf numFmtId="0" fontId="12" fillId="34" borderId="0" xfId="0" applyFont="1" applyFill="1" applyBorder="1" applyAlignment="1">
      <alignment horizontal="left" vertical="center" wrapText="1"/>
    </xf>
    <xf numFmtId="0" fontId="133" fillId="0" borderId="0" xfId="0" applyFont="1" applyFill="1" applyBorder="1" applyAlignment="1">
      <alignment horizontal="left" vertical="center" wrapText="1"/>
    </xf>
    <xf numFmtId="0" fontId="37" fillId="0" borderId="0" xfId="0" applyFont="1" applyFill="1" applyBorder="1" applyAlignment="1">
      <alignment horizontal="left" wrapText="1"/>
    </xf>
    <xf numFmtId="0" fontId="133" fillId="0" borderId="0" xfId="0" applyFont="1" applyFill="1" applyBorder="1" applyAlignment="1">
      <alignment vertical="center" wrapText="1"/>
    </xf>
    <xf numFmtId="0" fontId="133" fillId="0" borderId="0" xfId="0" applyFont="1" applyFill="1" applyBorder="1" applyAlignment="1">
      <alignment horizontal="center" vertical="top" wrapText="1"/>
    </xf>
    <xf numFmtId="164" fontId="22" fillId="34" borderId="0" xfId="0" applyNumberFormat="1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4" fillId="0" borderId="15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22" fillId="0" borderId="7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left" vertical="center" wrapText="1"/>
    </xf>
    <xf numFmtId="164" fontId="14" fillId="0" borderId="0" xfId="0" applyNumberFormat="1" applyFont="1" applyFill="1" applyBorder="1" applyAlignment="1">
      <alignment horizontal="left" wrapText="1"/>
    </xf>
    <xf numFmtId="164" fontId="14" fillId="0" borderId="0" xfId="0" applyNumberFormat="1" applyFont="1" applyFill="1" applyAlignment="1">
      <alignment horizontal="center" vertical="center"/>
    </xf>
    <xf numFmtId="0" fontId="14" fillId="0" borderId="0" xfId="0" applyFont="1" applyFill="1" applyBorder="1" applyAlignment="1">
      <alignment horizontal="justify" wrapText="1"/>
    </xf>
    <xf numFmtId="1" fontId="12" fillId="0" borderId="0" xfId="0" applyNumberFormat="1" applyFont="1" applyFill="1" applyBorder="1" applyAlignment="1">
      <alignment horizontal="center" wrapText="1"/>
    </xf>
    <xf numFmtId="2" fontId="12" fillId="0" borderId="0" xfId="0" applyNumberFormat="1" applyFont="1" applyFill="1" applyBorder="1" applyAlignment="1">
      <alignment horizontal="center"/>
    </xf>
    <xf numFmtId="46" fontId="14" fillId="0" borderId="0" xfId="0" applyNumberFormat="1" applyFont="1" applyFill="1" applyBorder="1" applyAlignment="1">
      <alignment horizontal="center" vertical="center"/>
    </xf>
    <xf numFmtId="2" fontId="14" fillId="0" borderId="15" xfId="0" applyNumberFormat="1" applyFont="1" applyFill="1" applyBorder="1" applyAlignment="1">
      <alignment horizontal="center" vertical="center"/>
    </xf>
    <xf numFmtId="37" fontId="13" fillId="0" borderId="0" xfId="0" applyNumberFormat="1" applyFont="1" applyFill="1" applyBorder="1" applyAlignment="1">
      <alignment vertical="center" wrapText="1"/>
    </xf>
    <xf numFmtId="0" fontId="12" fillId="34" borderId="0" xfId="0" applyFont="1" applyFill="1" applyBorder="1" applyAlignment="1">
      <alignment horizontal="left" vertical="center" wrapText="1"/>
    </xf>
    <xf numFmtId="174" fontId="125" fillId="34" borderId="0" xfId="0" applyNumberFormat="1" applyFont="1" applyFill="1" applyBorder="1" applyAlignment="1">
      <alignment horizontal="center" wrapText="1"/>
    </xf>
    <xf numFmtId="174" fontId="125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left"/>
    </xf>
    <xf numFmtId="164" fontId="133" fillId="36" borderId="0" xfId="0" applyNumberFormat="1" applyFont="1" applyFill="1" applyBorder="1" applyAlignment="1">
      <alignment horizontal="center" vertical="center"/>
    </xf>
    <xf numFmtId="164" fontId="14" fillId="0" borderId="0" xfId="0" applyNumberFormat="1" applyFont="1" applyFill="1" applyAlignment="1">
      <alignment horizontal="center"/>
    </xf>
    <xf numFmtId="164" fontId="133" fillId="34" borderId="0" xfId="0" applyNumberFormat="1" applyFont="1" applyFill="1" applyBorder="1" applyAlignment="1">
      <alignment horizontal="center" vertical="center"/>
    </xf>
    <xf numFmtId="0" fontId="20" fillId="0" borderId="0" xfId="0" applyFont="1" applyFill="1" applyAlignment="1">
      <alignment horizontal="right"/>
    </xf>
    <xf numFmtId="0" fontId="27" fillId="0" borderId="8" xfId="0" applyFont="1" applyFill="1" applyBorder="1" applyAlignment="1">
      <alignment horizontal="center" vertical="center"/>
    </xf>
    <xf numFmtId="0" fontId="27" fillId="0" borderId="2" xfId="0" applyFont="1" applyFill="1" applyBorder="1" applyAlignment="1">
      <alignment horizontal="center" vertical="center"/>
    </xf>
    <xf numFmtId="0" fontId="27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right"/>
    </xf>
    <xf numFmtId="0" fontId="22" fillId="0" borderId="8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164" fontId="133" fillId="0" borderId="0" xfId="0" applyNumberFormat="1" applyFont="1" applyFill="1" applyBorder="1" applyAlignment="1">
      <alignment horizontal="center" vertical="top" wrapText="1"/>
    </xf>
    <xf numFmtId="0" fontId="37" fillId="0" borderId="0" xfId="0" applyFont="1" applyFill="1" applyBorder="1" applyAlignment="1">
      <alignment wrapText="1"/>
    </xf>
    <xf numFmtId="0" fontId="31" fillId="0" borderId="0" xfId="0" applyFont="1" applyFill="1"/>
    <xf numFmtId="0" fontId="30" fillId="0" borderId="0" xfId="0" applyFont="1" applyFill="1" applyBorder="1" applyAlignment="1">
      <alignment wrapText="1"/>
    </xf>
    <xf numFmtId="0" fontId="30" fillId="0" borderId="0" xfId="0" applyFont="1" applyFill="1" applyBorder="1" applyAlignment="1">
      <alignment horizontal="center" wrapText="1"/>
    </xf>
    <xf numFmtId="0" fontId="30" fillId="0" borderId="0" xfId="0" applyFont="1" applyFill="1" applyAlignment="1">
      <alignment wrapText="1"/>
    </xf>
    <xf numFmtId="0" fontId="12" fillId="0" borderId="0" xfId="0" applyFont="1" applyFill="1"/>
    <xf numFmtId="0" fontId="12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center" vertical="top" wrapText="1"/>
    </xf>
    <xf numFmtId="0" fontId="28" fillId="0" borderId="8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0" fontId="81" fillId="0" borderId="2" xfId="0" applyFont="1" applyFill="1" applyBorder="1" applyAlignment="1">
      <alignment horizontal="center" vertical="center" wrapText="1"/>
    </xf>
    <xf numFmtId="0" fontId="96" fillId="0" borderId="2" xfId="0" applyFont="1" applyFill="1" applyBorder="1" applyAlignment="1">
      <alignment horizontal="center" vertical="center" wrapText="1"/>
    </xf>
    <xf numFmtId="0" fontId="19" fillId="0" borderId="7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164" fontId="133" fillId="0" borderId="0" xfId="0" applyNumberFormat="1" applyFont="1" applyFill="1" applyAlignment="1">
      <alignment horizontal="right"/>
    </xf>
    <xf numFmtId="164" fontId="133" fillId="0" borderId="0" xfId="0" applyNumberFormat="1" applyFont="1" applyFill="1" applyBorder="1" applyAlignment="1">
      <alignment horizontal="right"/>
    </xf>
    <xf numFmtId="0" fontId="12" fillId="0" borderId="0" xfId="0" applyFont="1" applyFill="1" applyAlignment="1">
      <alignment horizontal="center"/>
    </xf>
    <xf numFmtId="0" fontId="14" fillId="0" borderId="0" xfId="0" applyFont="1" applyFill="1" applyBorder="1" applyAlignment="1">
      <alignment vertical="top" wrapText="1"/>
    </xf>
    <xf numFmtId="0" fontId="14" fillId="0" borderId="0" xfId="0" applyFont="1" applyFill="1" applyAlignment="1">
      <alignment horizontal="left"/>
    </xf>
    <xf numFmtId="0" fontId="20" fillId="0" borderId="0" xfId="0" applyFont="1" applyFill="1" applyAlignment="1"/>
    <xf numFmtId="0" fontId="22" fillId="0" borderId="2" xfId="0" applyFont="1" applyFill="1" applyBorder="1" applyAlignment="1">
      <alignment horizontal="center"/>
    </xf>
    <xf numFmtId="0" fontId="7" fillId="0" borderId="0" xfId="0" applyFont="1" applyFill="1"/>
    <xf numFmtId="164" fontId="6" fillId="0" borderId="0" xfId="0" applyNumberFormat="1" applyFont="1" applyFill="1"/>
    <xf numFmtId="0" fontId="37" fillId="0" borderId="0" xfId="0" applyFont="1" applyFill="1" applyBorder="1" applyAlignment="1"/>
    <xf numFmtId="0" fontId="37" fillId="0" borderId="0" xfId="0" applyFont="1" applyFill="1" applyBorder="1" applyAlignment="1">
      <alignment horizontal="left"/>
    </xf>
    <xf numFmtId="164" fontId="13" fillId="0" borderId="0" xfId="0" applyNumberFormat="1" applyFont="1" applyFill="1" applyBorder="1" applyAlignment="1"/>
    <xf numFmtId="164" fontId="134" fillId="0" borderId="0" xfId="0" applyNumberFormat="1" applyFont="1" applyFill="1" applyBorder="1" applyAlignment="1">
      <alignment horizontal="center" wrapText="1"/>
    </xf>
    <xf numFmtId="37" fontId="34" fillId="0" borderId="0" xfId="0" applyNumberFormat="1" applyFont="1" applyFill="1" applyBorder="1" applyAlignment="1">
      <alignment vertical="center" wrapText="1"/>
    </xf>
    <xf numFmtId="164" fontId="6" fillId="0" borderId="0" xfId="0" applyNumberFormat="1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horizontal="center" vertical="center"/>
    </xf>
    <xf numFmtId="164" fontId="133" fillId="36" borderId="0" xfId="0" applyNumberFormat="1" applyFont="1" applyFill="1" applyBorder="1" applyAlignment="1">
      <alignment horizontal="center" wrapText="1"/>
    </xf>
    <xf numFmtId="164" fontId="6" fillId="0" borderId="0" xfId="0" applyNumberFormat="1" applyFont="1" applyFill="1" applyBorder="1"/>
    <xf numFmtId="164" fontId="133" fillId="36" borderId="0" xfId="0" applyNumberFormat="1" applyFont="1" applyFill="1" applyBorder="1" applyAlignment="1">
      <alignment vertical="center"/>
    </xf>
    <xf numFmtId="2" fontId="41" fillId="0" borderId="15" xfId="0" applyNumberFormat="1" applyFont="1" applyFill="1" applyBorder="1" applyAlignment="1">
      <alignment horizontal="center" vertical="center" wrapText="1"/>
    </xf>
    <xf numFmtId="0" fontId="41" fillId="0" borderId="15" xfId="0" applyFont="1" applyFill="1" applyBorder="1" applyAlignment="1">
      <alignment horizontal="center" vertical="center" wrapText="1"/>
    </xf>
    <xf numFmtId="2" fontId="34" fillId="0" borderId="15" xfId="0" applyNumberFormat="1" applyFont="1" applyFill="1" applyBorder="1" applyAlignment="1">
      <alignment horizontal="center" vertical="center" wrapText="1"/>
    </xf>
    <xf numFmtId="2" fontId="13" fillId="0" borderId="15" xfId="0" applyNumberFormat="1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2" fontId="41" fillId="0" borderId="15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 vertical="center" wrapText="1"/>
    </xf>
    <xf numFmtId="1" fontId="22" fillId="0" borderId="0" xfId="0" applyNumberFormat="1" applyFont="1" applyFill="1" applyBorder="1" applyAlignment="1">
      <alignment horizontal="center" wrapText="1"/>
    </xf>
    <xf numFmtId="2" fontId="22" fillId="0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 vertical="center" wrapText="1"/>
    </xf>
    <xf numFmtId="2" fontId="22" fillId="0" borderId="0" xfId="0" applyNumberFormat="1" applyFont="1" applyFill="1" applyBorder="1"/>
    <xf numFmtId="0" fontId="12" fillId="34" borderId="0" xfId="0" applyFont="1" applyFill="1" applyBorder="1" applyAlignment="1">
      <alignment horizontal="left" vertical="center" wrapText="1"/>
    </xf>
    <xf numFmtId="2" fontId="41" fillId="0" borderId="0" xfId="0" applyNumberFormat="1" applyFont="1" applyFill="1" applyBorder="1" applyAlignment="1">
      <alignment horizontal="center" vertical="center"/>
    </xf>
    <xf numFmtId="2" fontId="41" fillId="34" borderId="0" xfId="0" applyNumberFormat="1" applyFont="1" applyFill="1" applyBorder="1" applyAlignment="1">
      <alignment horizontal="center" vertical="center"/>
    </xf>
    <xf numFmtId="166" fontId="22" fillId="34" borderId="0" xfId="0" applyNumberFormat="1" applyFont="1" applyFill="1" applyBorder="1" applyAlignment="1">
      <alignment horizontal="center" vertical="center"/>
    </xf>
    <xf numFmtId="0" fontId="22" fillId="34" borderId="0" xfId="0" applyFont="1" applyFill="1" applyBorder="1" applyAlignment="1">
      <alignment horizontal="center" vertical="center"/>
    </xf>
    <xf numFmtId="1" fontId="22" fillId="0" borderId="0" xfId="0" applyNumberFormat="1" applyFont="1" applyFill="1" applyBorder="1" applyAlignment="1">
      <alignment horizontal="center"/>
    </xf>
    <xf numFmtId="0" fontId="12" fillId="34" borderId="0" xfId="0" applyFont="1" applyFill="1" applyBorder="1" applyAlignment="1"/>
    <xf numFmtId="0" fontId="12" fillId="0" borderId="0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right" vertical="center"/>
    </xf>
    <xf numFmtId="2" fontId="133" fillId="36" borderId="0" xfId="0" applyNumberFormat="1" applyFont="1" applyFill="1" applyBorder="1" applyAlignment="1">
      <alignment horizontal="center" vertical="center" wrapText="1"/>
    </xf>
    <xf numFmtId="3" fontId="7" fillId="0" borderId="0" xfId="137" applyNumberFormat="1" applyFont="1" applyFill="1" applyBorder="1" applyAlignment="1" applyProtection="1">
      <alignment horizontal="right"/>
    </xf>
    <xf numFmtId="3" fontId="7" fillId="0" borderId="0" xfId="137" applyNumberFormat="1" applyFont="1" applyFill="1" applyBorder="1" applyProtection="1"/>
    <xf numFmtId="3" fontId="7" fillId="0" borderId="0" xfId="137" applyNumberFormat="1" applyFont="1" applyFill="1" applyBorder="1" applyProtection="1">
      <protection locked="0"/>
    </xf>
    <xf numFmtId="177" fontId="7" fillId="0" borderId="0" xfId="137" applyNumberFormat="1" applyFont="1" applyFill="1" applyBorder="1" applyAlignment="1" applyProtection="1">
      <alignment horizontal="right"/>
    </xf>
    <xf numFmtId="0" fontId="14" fillId="34" borderId="15" xfId="0" applyFont="1" applyFill="1" applyBorder="1" applyAlignment="1">
      <alignment horizontal="right"/>
    </xf>
    <xf numFmtId="0" fontId="14" fillId="0" borderId="0" xfId="0" applyNumberFormat="1" applyFont="1" applyFill="1" applyBorder="1" applyAlignment="1">
      <alignment horizontal="left"/>
    </xf>
    <xf numFmtId="0" fontId="14" fillId="0" borderId="0" xfId="0" applyNumberFormat="1" applyFont="1" applyFill="1" applyBorder="1" applyAlignment="1">
      <alignment horizontal="right"/>
    </xf>
    <xf numFmtId="2" fontId="14" fillId="0" borderId="0" xfId="196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>
      <alignment horizontal="right" vertical="center"/>
    </xf>
    <xf numFmtId="0" fontId="14" fillId="0" borderId="0" xfId="0" applyNumberFormat="1" applyFont="1" applyFill="1" applyBorder="1" applyAlignment="1">
      <alignment horizontal="left" vertical="center"/>
    </xf>
    <xf numFmtId="0" fontId="12" fillId="34" borderId="0" xfId="0" applyFont="1" applyFill="1" applyBorder="1" applyAlignment="1">
      <alignment horizontal="left" vertical="center" wrapText="1"/>
    </xf>
    <xf numFmtId="0" fontId="22" fillId="34" borderId="0" xfId="0" applyFont="1" applyFill="1" applyBorder="1" applyAlignment="1">
      <alignment horizontal="left" vertical="center" wrapText="1"/>
    </xf>
    <xf numFmtId="0" fontId="22" fillId="34" borderId="0" xfId="136" applyNumberFormat="1" applyFont="1" applyFill="1" applyBorder="1" applyAlignment="1">
      <alignment horizontal="center"/>
    </xf>
    <xf numFmtId="0" fontId="22" fillId="34" borderId="0" xfId="0" applyFont="1" applyFill="1" applyBorder="1" applyAlignment="1">
      <alignment horizontal="left" vertical="center"/>
    </xf>
    <xf numFmtId="2" fontId="125" fillId="0" borderId="0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horizontal="right" vertical="center"/>
    </xf>
    <xf numFmtId="2" fontId="42" fillId="34" borderId="0" xfId="0" applyNumberFormat="1" applyFont="1" applyFill="1" applyBorder="1" applyAlignment="1">
      <alignment horizontal="center" vertical="center"/>
    </xf>
    <xf numFmtId="0" fontId="22" fillId="34" borderId="0" xfId="0" applyFont="1" applyFill="1" applyBorder="1" applyAlignment="1">
      <alignment horizontal="center" vertical="center" wrapText="1"/>
    </xf>
    <xf numFmtId="164" fontId="22" fillId="0" borderId="0" xfId="0" applyNumberFormat="1" applyFont="1" applyFill="1" applyAlignment="1">
      <alignment horizontal="center"/>
    </xf>
    <xf numFmtId="0" fontId="12" fillId="34" borderId="0" xfId="0" applyFont="1" applyFill="1" applyBorder="1" applyAlignment="1">
      <alignment horizontal="left" vertical="center" wrapText="1"/>
    </xf>
    <xf numFmtId="0" fontId="134" fillId="34" borderId="0" xfId="0" applyFont="1" applyFill="1" applyBorder="1" applyAlignment="1">
      <alignment horizontal="left" vertical="center" wrapText="1"/>
    </xf>
    <xf numFmtId="2" fontId="135" fillId="34" borderId="0" xfId="0" applyNumberFormat="1" applyFont="1" applyFill="1" applyBorder="1" applyAlignment="1">
      <alignment horizontal="center" vertical="center" wrapText="1"/>
    </xf>
    <xf numFmtId="0" fontId="134" fillId="34" borderId="0" xfId="0" applyFont="1" applyFill="1" applyBorder="1" applyAlignment="1">
      <alignment vertical="center" wrapText="1"/>
    </xf>
    <xf numFmtId="2" fontId="134" fillId="0" borderId="0" xfId="0" applyNumberFormat="1" applyFont="1" applyFill="1" applyBorder="1" applyAlignment="1">
      <alignment horizontal="center" vertical="center" wrapText="1"/>
    </xf>
    <xf numFmtId="164" fontId="134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left" vertical="center" wrapText="1"/>
    </xf>
    <xf numFmtId="0" fontId="42" fillId="0" borderId="0" xfId="0" applyFont="1"/>
    <xf numFmtId="0" fontId="16" fillId="34" borderId="0" xfId="0" applyFont="1" applyFill="1" applyBorder="1" applyAlignment="1">
      <alignment horizontal="righ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4" fillId="34" borderId="0" xfId="0" applyFont="1" applyFill="1" applyBorder="1" applyAlignment="1">
      <alignment horizontal="center" wrapText="1"/>
    </xf>
    <xf numFmtId="164" fontId="134" fillId="34" borderId="0" xfId="0" applyNumberFormat="1" applyFont="1" applyFill="1" applyBorder="1" applyAlignment="1">
      <alignment horizontal="center" vertical="center" wrapText="1"/>
    </xf>
    <xf numFmtId="164" fontId="134" fillId="34" borderId="0" xfId="0" applyNumberFormat="1" applyFont="1" applyFill="1" applyBorder="1" applyAlignment="1">
      <alignment horizontal="center" wrapText="1"/>
    </xf>
    <xf numFmtId="0" fontId="44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left" vertical="center" wrapText="1"/>
    </xf>
    <xf numFmtId="2" fontId="133" fillId="0" borderId="0" xfId="0" applyNumberFormat="1" applyFont="1" applyFill="1" applyBorder="1" applyAlignment="1">
      <alignment horizontal="center" vertical="center" wrapText="1"/>
    </xf>
    <xf numFmtId="0" fontId="14" fillId="35" borderId="0" xfId="0" applyFont="1" applyFill="1" applyBorder="1" applyAlignment="1">
      <alignment horizontal="center" vertical="center"/>
    </xf>
    <xf numFmtId="2" fontId="44" fillId="34" borderId="0" xfId="0" applyNumberFormat="1" applyFont="1" applyFill="1" applyBorder="1" applyAlignment="1">
      <alignment horizontal="center" vertical="center" wrapText="1"/>
    </xf>
    <xf numFmtId="0" fontId="44" fillId="0" borderId="0" xfId="0" applyFont="1" applyFill="1" applyBorder="1" applyAlignment="1">
      <alignment horizontal="left" vertical="center"/>
    </xf>
    <xf numFmtId="2" fontId="44" fillId="0" borderId="0" xfId="0" applyNumberFormat="1" applyFont="1" applyBorder="1" applyAlignment="1">
      <alignment horizontal="center" vertical="center" wrapText="1"/>
    </xf>
    <xf numFmtId="2" fontId="41" fillId="0" borderId="0" xfId="0" applyNumberFormat="1" applyFont="1" applyAlignment="1">
      <alignment horizontal="center" vertical="center"/>
    </xf>
    <xf numFmtId="2" fontId="41" fillId="34" borderId="0" xfId="0" applyNumberFormat="1" applyFont="1" applyFill="1" applyAlignment="1">
      <alignment horizontal="center" vertical="center"/>
    </xf>
    <xf numFmtId="2" fontId="41" fillId="0" borderId="0" xfId="0" applyNumberFormat="1" applyFont="1" applyBorder="1" applyAlignment="1">
      <alignment horizontal="center" vertical="center"/>
    </xf>
    <xf numFmtId="2" fontId="42" fillId="0" borderId="0" xfId="0" applyNumberFormat="1" applyFont="1" applyFill="1" applyBorder="1" applyAlignment="1">
      <alignment horizontal="center" vertical="center"/>
    </xf>
    <xf numFmtId="0" fontId="44" fillId="0" borderId="0" xfId="0" applyFont="1" applyBorder="1" applyAlignment="1">
      <alignment horizontal="left" vertical="center" wrapText="1"/>
    </xf>
    <xf numFmtId="0" fontId="41" fillId="0" borderId="0" xfId="0" applyFont="1" applyBorder="1" applyAlignment="1">
      <alignment horizontal="left" vertical="center" wrapText="1"/>
    </xf>
    <xf numFmtId="0" fontId="41" fillId="34" borderId="0" xfId="0" applyFont="1" applyFill="1" applyBorder="1" applyAlignment="1">
      <alignment horizontal="left" vertical="center" wrapText="1"/>
    </xf>
    <xf numFmtId="0" fontId="44" fillId="0" borderId="0" xfId="0" applyFont="1" applyBorder="1" applyAlignment="1">
      <alignment vertical="center"/>
    </xf>
    <xf numFmtId="0" fontId="44" fillId="34" borderId="0" xfId="0" applyFont="1" applyFill="1" applyBorder="1" applyAlignment="1">
      <alignment vertical="center"/>
    </xf>
    <xf numFmtId="0" fontId="44" fillId="34" borderId="0" xfId="0" applyFont="1" applyFill="1" applyBorder="1" applyAlignment="1">
      <alignment horizontal="left" vertical="center"/>
    </xf>
    <xf numFmtId="0" fontId="74" fillId="34" borderId="0" xfId="0" applyFont="1" applyFill="1" applyBorder="1" applyAlignment="1">
      <alignment horizontal="left" vertical="center"/>
    </xf>
    <xf numFmtId="0" fontId="74" fillId="0" borderId="0" xfId="0" applyFont="1" applyFill="1" applyBorder="1" applyAlignment="1">
      <alignment horizontal="left" vertical="center"/>
    </xf>
    <xf numFmtId="14" fontId="14" fillId="0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7" fillId="0" borderId="0" xfId="0" applyFont="1" applyBorder="1" applyAlignment="1">
      <alignment vertical="center"/>
    </xf>
    <xf numFmtId="0" fontId="62" fillId="0" borderId="19" xfId="0" applyFont="1" applyBorder="1" applyAlignment="1">
      <alignment vertical="top" wrapText="1"/>
    </xf>
    <xf numFmtId="0" fontId="20" fillId="0" borderId="20" xfId="0" applyFont="1" applyBorder="1" applyAlignment="1">
      <alignment wrapText="1"/>
    </xf>
    <xf numFmtId="0" fontId="29" fillId="0" borderId="0" xfId="0" applyFont="1" applyFill="1" applyBorder="1" applyAlignment="1">
      <alignment horizontal="left"/>
    </xf>
    <xf numFmtId="0" fontId="29" fillId="34" borderId="0" xfId="0" applyFont="1" applyFill="1" applyBorder="1" applyAlignment="1">
      <alignment horizontal="left"/>
    </xf>
    <xf numFmtId="0" fontId="16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2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164" fontId="134" fillId="0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right" vertical="center"/>
    </xf>
    <xf numFmtId="164" fontId="7" fillId="0" borderId="0" xfId="0" applyNumberFormat="1" applyFont="1" applyFill="1" applyBorder="1"/>
    <xf numFmtId="0" fontId="14" fillId="0" borderId="0" xfId="196" applyFont="1" applyFill="1" applyBorder="1" applyAlignment="1">
      <alignment horizontal="left"/>
    </xf>
    <xf numFmtId="174" fontId="125" fillId="0" borderId="23" xfId="0" applyNumberFormat="1" applyFont="1" applyFill="1" applyBorder="1" applyAlignment="1">
      <alignment horizontal="center" wrapText="1"/>
    </xf>
    <xf numFmtId="2" fontId="125" fillId="0" borderId="23" xfId="0" applyNumberFormat="1" applyFont="1" applyFill="1" applyBorder="1" applyAlignment="1">
      <alignment horizontal="center"/>
    </xf>
    <xf numFmtId="2" fontId="14" fillId="0" borderId="23" xfId="0" applyNumberFormat="1" applyFont="1" applyFill="1" applyBorder="1" applyAlignment="1">
      <alignment horizontal="center"/>
    </xf>
    <xf numFmtId="0" fontId="14" fillId="0" borderId="23" xfId="0" applyFont="1" applyFill="1" applyBorder="1" applyAlignment="1">
      <alignment horizontal="center"/>
    </xf>
    <xf numFmtId="0" fontId="37" fillId="0" borderId="0" xfId="0" applyFont="1" applyBorder="1" applyAlignment="1">
      <alignment vertical="top" wrapText="1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2" fontId="22" fillId="0" borderId="0" xfId="0" applyNumberFormat="1" applyFont="1" applyFill="1" applyBorder="1" applyAlignment="1">
      <alignment horizontal="center" vertical="center" wrapText="1"/>
    </xf>
    <xf numFmtId="0" fontId="136" fillId="0" borderId="0" xfId="0" applyFont="1" applyFill="1" applyBorder="1" applyAlignment="1">
      <alignment vertical="center"/>
    </xf>
    <xf numFmtId="0" fontId="136" fillId="0" borderId="0" xfId="0" applyFont="1" applyFill="1" applyBorder="1" applyAlignment="1">
      <alignment vertical="center" wrapText="1"/>
    </xf>
    <xf numFmtId="0" fontId="136" fillId="0" borderId="0" xfId="0" applyFont="1" applyFill="1" applyAlignment="1">
      <alignment vertical="center"/>
    </xf>
    <xf numFmtId="0" fontId="136" fillId="0" borderId="0" xfId="0" applyFont="1" applyFill="1" applyBorder="1" applyAlignment="1">
      <alignment horizontal="center" vertical="center"/>
    </xf>
    <xf numFmtId="0" fontId="136" fillId="0" borderId="1" xfId="0" applyFont="1" applyFill="1" applyBorder="1" applyAlignment="1">
      <alignment horizontal="center" vertical="center"/>
    </xf>
    <xf numFmtId="0" fontId="136" fillId="0" borderId="1" xfId="0" applyFont="1" applyFill="1" applyBorder="1" applyAlignment="1">
      <alignment vertical="center"/>
    </xf>
    <xf numFmtId="0" fontId="136" fillId="0" borderId="1" xfId="0" applyFont="1" applyFill="1" applyBorder="1" applyAlignment="1">
      <alignment horizontal="right" vertical="center"/>
    </xf>
    <xf numFmtId="0" fontId="136" fillId="0" borderId="0" xfId="0" applyFont="1" applyFill="1" applyBorder="1" applyAlignment="1">
      <alignment horizontal="right" vertical="center"/>
    </xf>
    <xf numFmtId="0" fontId="137" fillId="0" borderId="0" xfId="0" applyFont="1" applyFill="1" applyAlignment="1">
      <alignment vertical="center"/>
    </xf>
    <xf numFmtId="0" fontId="138" fillId="0" borderId="0" xfId="0" applyFont="1" applyFill="1" applyAlignment="1">
      <alignment horizontal="center" vertical="center"/>
    </xf>
    <xf numFmtId="0" fontId="139" fillId="0" borderId="0" xfId="0" applyFont="1" applyFill="1" applyAlignment="1">
      <alignment vertical="center" wrapText="1"/>
    </xf>
    <xf numFmtId="0" fontId="140" fillId="0" borderId="2" xfId="0" applyFont="1" applyFill="1" applyBorder="1" applyAlignment="1">
      <alignment horizontal="center" vertical="center" wrapText="1"/>
    </xf>
    <xf numFmtId="0" fontId="141" fillId="0" borderId="2" xfId="0" applyFont="1" applyFill="1" applyBorder="1" applyAlignment="1">
      <alignment horizontal="center" vertical="center" wrapText="1"/>
    </xf>
    <xf numFmtId="0" fontId="142" fillId="0" borderId="0" xfId="0" applyFont="1" applyFill="1" applyAlignment="1">
      <alignment vertical="center"/>
    </xf>
    <xf numFmtId="1" fontId="143" fillId="0" borderId="2" xfId="0" applyNumberFormat="1" applyFont="1" applyFill="1" applyBorder="1" applyAlignment="1">
      <alignment horizontal="center" vertical="center"/>
    </xf>
    <xf numFmtId="1" fontId="144" fillId="0" borderId="2" xfId="0" applyNumberFormat="1" applyFont="1" applyFill="1" applyBorder="1" applyAlignment="1">
      <alignment horizontal="center" vertical="center" wrapText="1"/>
    </xf>
    <xf numFmtId="0" fontId="145" fillId="0" borderId="0" xfId="0" applyFont="1" applyFill="1" applyAlignment="1">
      <alignment vertical="center"/>
    </xf>
    <xf numFmtId="0" fontId="146" fillId="0" borderId="0" xfId="0" applyFont="1" applyFill="1"/>
    <xf numFmtId="0" fontId="133" fillId="0" borderId="11" xfId="0" applyFont="1" applyFill="1" applyBorder="1" applyAlignment="1">
      <alignment horizontal="left" wrapText="1"/>
    </xf>
    <xf numFmtId="0" fontId="125" fillId="0" borderId="0" xfId="0" applyFont="1" applyFill="1" applyBorder="1"/>
    <xf numFmtId="0" fontId="14" fillId="34" borderId="24" xfId="0" applyFont="1" applyFill="1" applyBorder="1" applyAlignment="1">
      <alignment horizontal="left" wrapText="1"/>
    </xf>
    <xf numFmtId="0" fontId="133" fillId="0" borderId="24" xfId="0" applyFont="1" applyFill="1" applyBorder="1" applyAlignment="1">
      <alignment horizontal="left" wrapText="1"/>
    </xf>
    <xf numFmtId="0" fontId="133" fillId="34" borderId="24" xfId="0" applyFont="1" applyFill="1" applyBorder="1" applyAlignment="1">
      <alignment horizontal="left" wrapText="1"/>
    </xf>
    <xf numFmtId="0" fontId="125" fillId="0" borderId="0" xfId="0" applyFont="1" applyFill="1"/>
    <xf numFmtId="0" fontId="135" fillId="0" borderId="9" xfId="0" applyFont="1" applyFill="1" applyBorder="1"/>
    <xf numFmtId="0" fontId="135" fillId="0" borderId="0" xfId="0" applyFont="1" applyFill="1"/>
    <xf numFmtId="0" fontId="147" fillId="0" borderId="0" xfId="0" applyFont="1" applyFill="1"/>
    <xf numFmtId="0" fontId="14" fillId="34" borderId="0" xfId="0" applyFont="1" applyFill="1" applyAlignment="1">
      <alignment horizontal="right"/>
    </xf>
    <xf numFmtId="164" fontId="14" fillId="0" borderId="0" xfId="0" applyNumberFormat="1" applyFont="1" applyAlignment="1">
      <alignment horizontal="center"/>
    </xf>
    <xf numFmtId="0" fontId="148" fillId="0" borderId="0" xfId="0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168" fontId="12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right" vertical="center"/>
    </xf>
    <xf numFmtId="3" fontId="14" fillId="0" borderId="0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 vertical="center" wrapText="1"/>
    </xf>
    <xf numFmtId="0" fontId="14" fillId="0" borderId="0" xfId="136" applyNumberFormat="1" applyFont="1" applyFill="1" applyBorder="1" applyAlignment="1">
      <alignment horizontal="center" vertical="center"/>
    </xf>
    <xf numFmtId="2" fontId="51" fillId="0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1" fontId="16" fillId="34" borderId="0" xfId="0" applyNumberFormat="1" applyFont="1" applyFill="1" applyBorder="1" applyAlignment="1">
      <alignment horizontal="left" wrapText="1"/>
    </xf>
    <xf numFmtId="1" fontId="16" fillId="34" borderId="0" xfId="0" applyNumberFormat="1" applyFont="1" applyFill="1" applyBorder="1" applyAlignment="1">
      <alignment horizontal="center" wrapText="1"/>
    </xf>
    <xf numFmtId="1" fontId="16" fillId="34" borderId="0" xfId="0" applyNumberFormat="1" applyFont="1" applyFill="1" applyBorder="1" applyAlignment="1">
      <alignment horizontal="right" wrapText="1"/>
    </xf>
    <xf numFmtId="0" fontId="16" fillId="34" borderId="0" xfId="0" applyFont="1" applyFill="1" applyBorder="1" applyAlignment="1">
      <alignment horizontal="center"/>
    </xf>
    <xf numFmtId="0" fontId="94" fillId="0" borderId="0" xfId="0" applyFont="1" applyAlignment="1">
      <alignment horizontal="left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/>
    </xf>
    <xf numFmtId="0" fontId="14" fillId="34" borderId="0" xfId="136" applyNumberFormat="1" applyFont="1" applyFill="1" applyBorder="1" applyAlignment="1">
      <alignment horizontal="center" vertical="center"/>
    </xf>
    <xf numFmtId="2" fontId="51" fillId="34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vertical="center" wrapText="1"/>
    </xf>
    <xf numFmtId="164" fontId="14" fillId="0" borderId="0" xfId="0" applyNumberFormat="1" applyFont="1" applyAlignment="1"/>
    <xf numFmtId="164" fontId="14" fillId="0" borderId="0" xfId="0" applyNumberFormat="1" applyFont="1" applyFill="1" applyBorder="1" applyAlignment="1"/>
    <xf numFmtId="0" fontId="135" fillId="34" borderId="0" xfId="0" applyFont="1" applyFill="1" applyBorder="1" applyAlignment="1">
      <alignment horizontal="center" wrapText="1"/>
    </xf>
    <xf numFmtId="0" fontId="125" fillId="0" borderId="0" xfId="0" applyFont="1" applyFill="1" applyBorder="1" applyAlignment="1">
      <alignment horizontal="center"/>
    </xf>
    <xf numFmtId="0" fontId="135" fillId="0" borderId="0" xfId="0" applyFont="1" applyFill="1" applyBorder="1" applyAlignment="1">
      <alignment horizontal="center" wrapText="1"/>
    </xf>
    <xf numFmtId="164" fontId="22" fillId="0" borderId="0" xfId="0" applyNumberFormat="1" applyFont="1" applyFill="1" applyBorder="1" applyAlignment="1">
      <alignment horizontal="left" wrapText="1"/>
    </xf>
    <xf numFmtId="164" fontId="14" fillId="0" borderId="0" xfId="0" applyNumberFormat="1" applyFont="1" applyBorder="1" applyAlignment="1"/>
    <xf numFmtId="0" fontId="12" fillId="34" borderId="0" xfId="0" applyFont="1" applyFill="1" applyBorder="1" applyAlignment="1">
      <alignment horizontal="left" vertical="center" wrapText="1"/>
    </xf>
    <xf numFmtId="170" fontId="14" fillId="0" borderId="0" xfId="0" applyNumberFormat="1" applyFont="1" applyFill="1" applyBorder="1" applyAlignment="1">
      <alignment horizontal="center"/>
    </xf>
    <xf numFmtId="0" fontId="14" fillId="34" borderId="0" xfId="0" applyFont="1" applyFill="1" applyBorder="1" applyAlignment="1"/>
    <xf numFmtId="164" fontId="22" fillId="34" borderId="0" xfId="0" applyNumberFormat="1" applyFont="1" applyFill="1" applyBorder="1" applyAlignment="1">
      <alignment horizontal="left" wrapText="1"/>
    </xf>
    <xf numFmtId="0" fontId="135" fillId="34" borderId="0" xfId="0" applyFont="1" applyFill="1" applyBorder="1" applyAlignment="1">
      <alignment horizontal="center"/>
    </xf>
    <xf numFmtId="0" fontId="135" fillId="0" borderId="0" xfId="0" applyFont="1" applyFill="1" applyBorder="1" applyAlignment="1">
      <alignment horizontal="center"/>
    </xf>
    <xf numFmtId="164" fontId="135" fillId="0" borderId="0" xfId="0" applyNumberFormat="1" applyFont="1" applyFill="1" applyBorder="1" applyAlignment="1">
      <alignment horizontal="center"/>
    </xf>
    <xf numFmtId="0" fontId="135" fillId="0" borderId="0" xfId="0" applyFont="1" applyFill="1" applyBorder="1" applyAlignment="1">
      <alignment horizontal="center" vertical="center" wrapText="1"/>
    </xf>
    <xf numFmtId="2" fontId="41" fillId="0" borderId="0" xfId="0" quotePrefix="1" applyNumberFormat="1" applyFont="1" applyBorder="1" applyAlignment="1">
      <alignment horizontal="center" wrapText="1"/>
    </xf>
    <xf numFmtId="2" fontId="41" fillId="34" borderId="0" xfId="0" quotePrefix="1" applyNumberFormat="1" applyFont="1" applyFill="1" applyBorder="1" applyAlignment="1">
      <alignment horizontal="center" wrapText="1"/>
    </xf>
    <xf numFmtId="2" fontId="41" fillId="0" borderId="15" xfId="0" quotePrefix="1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vertical="center" wrapText="1"/>
    </xf>
    <xf numFmtId="0" fontId="22" fillId="35" borderId="0" xfId="0" applyFont="1" applyFill="1" applyBorder="1" applyAlignment="1">
      <alignment horizontal="left" vertical="center" wrapText="1"/>
    </xf>
    <xf numFmtId="0" fontId="44" fillId="0" borderId="0" xfId="0" applyFont="1" applyFill="1" applyBorder="1" applyAlignment="1">
      <alignment vertical="center"/>
    </xf>
    <xf numFmtId="0" fontId="17" fillId="0" borderId="0" xfId="0" applyFont="1" applyBorder="1" applyAlignment="1"/>
    <xf numFmtId="0" fontId="125" fillId="0" borderId="0" xfId="0" applyFont="1" applyFill="1" applyAlignment="1">
      <alignment horizontal="right" vertical="center" readingOrder="1"/>
    </xf>
    <xf numFmtId="164" fontId="125" fillId="0" borderId="0" xfId="0" applyNumberFormat="1" applyFont="1" applyFill="1" applyAlignment="1">
      <alignment horizontal="right" vertical="center" readingOrder="1"/>
    </xf>
    <xf numFmtId="0" fontId="135" fillId="0" borderId="1" xfId="0" applyFont="1" applyFill="1" applyBorder="1" applyAlignment="1">
      <alignment horizontal="right" readingOrder="1"/>
    </xf>
    <xf numFmtId="164" fontId="135" fillId="0" borderId="1" xfId="0" applyNumberFormat="1" applyFont="1" applyFill="1" applyBorder="1" applyAlignment="1">
      <alignment horizontal="right" readingOrder="1"/>
    </xf>
    <xf numFmtId="0" fontId="135" fillId="0" borderId="12" xfId="0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left" vertical="center" wrapText="1"/>
    </xf>
    <xf numFmtId="0" fontId="14" fillId="0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Fill="1" applyBorder="1" applyAlignment="1">
      <alignment horizontal="center" vertical="center" wrapText="1"/>
    </xf>
    <xf numFmtId="167" fontId="14" fillId="34" borderId="15" xfId="0" applyNumberFormat="1" applyFont="1" applyFill="1" applyBorder="1" applyAlignment="1">
      <alignment horizontal="center" vertical="center"/>
    </xf>
    <xf numFmtId="49" fontId="14" fillId="0" borderId="0" xfId="0" applyNumberFormat="1" applyFont="1" applyBorder="1" applyAlignment="1">
      <alignment horizontal="center" vertical="center" wrapText="1"/>
    </xf>
    <xf numFmtId="49" fontId="14" fillId="34" borderId="0" xfId="0" applyNumberFormat="1" applyFont="1" applyFill="1" applyBorder="1" applyAlignment="1">
      <alignment horizontal="center" vertical="center" wrapText="1"/>
    </xf>
    <xf numFmtId="49" fontId="14" fillId="0" borderId="0" xfId="0" applyNumberFormat="1" applyFont="1" applyBorder="1" applyAlignment="1">
      <alignment horizontal="center" vertical="center"/>
    </xf>
    <xf numFmtId="49" fontId="14" fillId="34" borderId="0" xfId="0" applyNumberFormat="1" applyFont="1" applyFill="1" applyBorder="1" applyAlignment="1">
      <alignment horizontal="center" vertical="center"/>
    </xf>
    <xf numFmtId="0" fontId="14" fillId="0" borderId="0" xfId="0" applyNumberFormat="1" applyFont="1" applyBorder="1" applyAlignment="1">
      <alignment horizontal="center" vertical="center"/>
    </xf>
    <xf numFmtId="173" fontId="14" fillId="34" borderId="0" xfId="0" applyNumberFormat="1" applyFont="1" applyFill="1" applyBorder="1" applyAlignment="1">
      <alignment horizontal="center" vertical="center"/>
    </xf>
    <xf numFmtId="0" fontId="14" fillId="34" borderId="0" xfId="0" applyNumberFormat="1" applyFont="1" applyFill="1" applyBorder="1" applyAlignment="1">
      <alignment horizontal="center" vertical="center"/>
    </xf>
    <xf numFmtId="172" fontId="14" fillId="34" borderId="0" xfId="0" applyNumberFormat="1" applyFont="1" applyFill="1" applyBorder="1" applyAlignment="1">
      <alignment horizontal="center" vertical="center"/>
    </xf>
    <xf numFmtId="173" fontId="14" fillId="0" borderId="0" xfId="0" applyNumberFormat="1" applyFont="1" applyBorder="1" applyAlignment="1">
      <alignment horizontal="right" vertical="center"/>
    </xf>
    <xf numFmtId="173" fontId="14" fillId="0" borderId="0" xfId="0" applyNumberFormat="1" applyFont="1" applyBorder="1" applyAlignment="1">
      <alignment horizontal="center" vertical="center"/>
    </xf>
    <xf numFmtId="49" fontId="125" fillId="0" borderId="0" xfId="0" applyNumberFormat="1" applyFont="1" applyBorder="1" applyAlignment="1">
      <alignment horizontal="center" vertical="center"/>
    </xf>
    <xf numFmtId="1" fontId="125" fillId="0" borderId="0" xfId="0" applyNumberFormat="1" applyFont="1" applyBorder="1" applyAlignment="1">
      <alignment horizontal="center" vertical="center"/>
    </xf>
    <xf numFmtId="172" fontId="14" fillId="34" borderId="15" xfId="0" applyNumberFormat="1" applyFont="1" applyFill="1" applyBorder="1" applyAlignment="1">
      <alignment horizontal="center" vertical="center"/>
    </xf>
    <xf numFmtId="49" fontId="14" fillId="34" borderId="15" xfId="0" applyNumberFormat="1" applyFont="1" applyFill="1" applyBorder="1" applyAlignment="1">
      <alignment horizontal="center" vertical="center"/>
    </xf>
    <xf numFmtId="2" fontId="16" fillId="0" borderId="0" xfId="0" applyNumberFormat="1" applyFont="1" applyFill="1" applyBorder="1" applyAlignment="1">
      <alignment horizontal="center"/>
    </xf>
    <xf numFmtId="1" fontId="143" fillId="0" borderId="2" xfId="0" applyNumberFormat="1" applyFont="1" applyFill="1" applyBorder="1" applyAlignment="1">
      <alignment horizontal="center" vertical="center"/>
    </xf>
    <xf numFmtId="2" fontId="125" fillId="0" borderId="0" xfId="0" applyNumberFormat="1" applyFont="1" applyFill="1" applyAlignment="1">
      <alignment horizontal="right" vertical="center" readingOrder="1"/>
    </xf>
    <xf numFmtId="2" fontId="135" fillId="0" borderId="1" xfId="0" applyNumberFormat="1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5" fillId="34" borderId="0" xfId="0" applyFont="1" applyFill="1" applyBorder="1" applyAlignment="1">
      <alignment horizontal="center" vertical="center" wrapText="1"/>
    </xf>
    <xf numFmtId="0" fontId="125" fillId="34" borderId="0" xfId="0" applyFont="1" applyFill="1" applyBorder="1" applyAlignment="1">
      <alignment horizontal="center" vertical="center"/>
    </xf>
    <xf numFmtId="0" fontId="12" fillId="35" borderId="0" xfId="0" applyFont="1" applyFill="1" applyBorder="1" applyAlignment="1">
      <alignment horizontal="left" vertical="center"/>
    </xf>
    <xf numFmtId="0" fontId="12" fillId="35" borderId="0" xfId="0" applyFont="1" applyFill="1" applyBorder="1" applyAlignment="1">
      <alignment horizontal="center" vertical="center"/>
    </xf>
    <xf numFmtId="164" fontId="133" fillId="35" borderId="0" xfId="0" applyNumberFormat="1" applyFont="1" applyFill="1" applyBorder="1" applyAlignment="1">
      <alignment horizontal="center" vertical="center"/>
    </xf>
    <xf numFmtId="164" fontId="14" fillId="35" borderId="0" xfId="0" applyNumberFormat="1" applyFont="1" applyFill="1" applyBorder="1" applyAlignment="1">
      <alignment horizontal="center" vertical="center"/>
    </xf>
    <xf numFmtId="0" fontId="12" fillId="35" borderId="0" xfId="0" applyFont="1" applyFill="1" applyBorder="1" applyAlignment="1">
      <alignment horizontal="right" vertical="center"/>
    </xf>
    <xf numFmtId="2" fontId="14" fillId="35" borderId="0" xfId="0" applyNumberFormat="1" applyFont="1" applyFill="1" applyBorder="1" applyAlignment="1">
      <alignment horizontal="center" vertical="center"/>
    </xf>
    <xf numFmtId="0" fontId="14" fillId="35" borderId="0" xfId="0" applyFont="1" applyFill="1" applyBorder="1" applyAlignment="1">
      <alignment horizontal="left" vertical="center"/>
    </xf>
    <xf numFmtId="0" fontId="12" fillId="35" borderId="0" xfId="0" applyFont="1" applyFill="1" applyBorder="1" applyAlignment="1">
      <alignment vertical="center"/>
    </xf>
    <xf numFmtId="0" fontId="14" fillId="35" borderId="0" xfId="136" applyNumberFormat="1" applyFont="1" applyFill="1" applyBorder="1" applyAlignment="1">
      <alignment horizontal="center" vertical="center"/>
    </xf>
    <xf numFmtId="2" fontId="51" fillId="35" borderId="0" xfId="0" applyNumberFormat="1" applyFont="1" applyFill="1" applyBorder="1" applyAlignment="1">
      <alignment horizontal="center" vertical="center"/>
    </xf>
    <xf numFmtId="0" fontId="14" fillId="35" borderId="0" xfId="0" applyFont="1" applyFill="1" applyBorder="1" applyAlignment="1">
      <alignment horizontal="right" vertical="center"/>
    </xf>
    <xf numFmtId="0" fontId="133" fillId="35" borderId="0" xfId="0" applyFont="1" applyFill="1" applyBorder="1" applyAlignment="1">
      <alignment horizontal="left" vertical="center" wrapText="1"/>
    </xf>
    <xf numFmtId="0" fontId="125" fillId="36" borderId="0" xfId="0" applyFont="1" applyFill="1" applyBorder="1" applyAlignment="1">
      <alignment horizontal="center" vertical="center" wrapText="1"/>
    </xf>
    <xf numFmtId="2" fontId="125" fillId="36" borderId="0" xfId="0" applyNumberFormat="1" applyFont="1" applyFill="1" applyBorder="1" applyAlignment="1">
      <alignment horizontal="center" vertical="center" wrapText="1"/>
    </xf>
    <xf numFmtId="0" fontId="125" fillId="36" borderId="51" xfId="0" applyFont="1" applyFill="1" applyBorder="1" applyAlignment="1">
      <alignment horizontal="left" vertical="center" wrapText="1"/>
    </xf>
    <xf numFmtId="0" fontId="14" fillId="35" borderId="0" xfId="0" applyFont="1" applyFill="1" applyBorder="1" applyAlignment="1">
      <alignment vertical="center" wrapText="1"/>
    </xf>
    <xf numFmtId="0" fontId="125" fillId="0" borderId="0" xfId="0" applyFont="1" applyFill="1" applyBorder="1" applyAlignment="1">
      <alignment horizontal="right" readingOrder="1"/>
    </xf>
    <xf numFmtId="164" fontId="125" fillId="0" borderId="0" xfId="0" applyNumberFormat="1" applyFont="1" applyFill="1" applyBorder="1" applyAlignment="1">
      <alignment horizontal="right" readingOrder="1"/>
    </xf>
    <xf numFmtId="2" fontId="125" fillId="0" borderId="0" xfId="0" applyNumberFormat="1" applyFont="1" applyFill="1" applyBorder="1" applyAlignment="1">
      <alignment horizontal="right" readingOrder="1"/>
    </xf>
    <xf numFmtId="0" fontId="135" fillId="34" borderId="1" xfId="0" applyFont="1" applyFill="1" applyBorder="1" applyAlignment="1">
      <alignment horizontal="right" readingOrder="1"/>
    </xf>
    <xf numFmtId="164" fontId="135" fillId="34" borderId="1" xfId="0" applyNumberFormat="1" applyFont="1" applyFill="1" applyBorder="1" applyAlignment="1">
      <alignment horizontal="right" readingOrder="1"/>
    </xf>
    <xf numFmtId="0" fontId="125" fillId="34" borderId="0" xfId="0" applyFont="1" applyFill="1" applyBorder="1" applyAlignment="1">
      <alignment horizontal="right" readingOrder="1"/>
    </xf>
    <xf numFmtId="164" fontId="125" fillId="34" borderId="0" xfId="0" applyNumberFormat="1" applyFont="1" applyFill="1" applyBorder="1" applyAlignment="1">
      <alignment horizontal="right" readingOrder="1"/>
    </xf>
    <xf numFmtId="2" fontId="125" fillId="34" borderId="0" xfId="0" applyNumberFormat="1" applyFont="1" applyFill="1" applyBorder="1" applyAlignment="1">
      <alignment horizontal="right" readingOrder="1"/>
    </xf>
    <xf numFmtId="0" fontId="125" fillId="34" borderId="0" xfId="0" applyFont="1" applyFill="1" applyBorder="1"/>
    <xf numFmtId="0" fontId="139" fillId="0" borderId="0" xfId="0" applyFont="1" applyFill="1"/>
    <xf numFmtId="0" fontId="138" fillId="0" borderId="0" xfId="0" applyFont="1" applyFill="1" applyBorder="1" applyAlignment="1">
      <alignment vertical="center"/>
    </xf>
    <xf numFmtId="0" fontId="138" fillId="0" borderId="0" xfId="0" applyFont="1" applyFill="1" applyAlignment="1">
      <alignment vertical="center"/>
    </xf>
    <xf numFmtId="0" fontId="125" fillId="34" borderId="25" xfId="0" applyFont="1" applyFill="1" applyBorder="1" applyAlignment="1">
      <alignment horizontal="right" readingOrder="1"/>
    </xf>
    <xf numFmtId="0" fontId="125" fillId="0" borderId="26" xfId="0" applyFont="1" applyFill="1" applyBorder="1" applyAlignment="1">
      <alignment horizontal="right" readingOrder="1"/>
    </xf>
    <xf numFmtId="0" fontId="125" fillId="34" borderId="26" xfId="0" applyFont="1" applyFill="1" applyBorder="1" applyAlignment="1">
      <alignment horizontal="right" readingOrder="1"/>
    </xf>
    <xf numFmtId="0" fontId="135" fillId="34" borderId="12" xfId="0" applyFont="1" applyFill="1" applyBorder="1" applyAlignment="1">
      <alignment horizontal="right" readingOrder="1"/>
    </xf>
    <xf numFmtId="2" fontId="13" fillId="0" borderId="0" xfId="0" quotePrefix="1" applyNumberFormat="1" applyFont="1" applyBorder="1" applyAlignment="1">
      <alignment horizontal="center" wrapText="1"/>
    </xf>
    <xf numFmtId="2" fontId="13" fillId="34" borderId="0" xfId="0" quotePrefix="1" applyNumberFormat="1" applyFont="1" applyFill="1" applyBorder="1" applyAlignment="1">
      <alignment horizontal="center" wrapText="1"/>
    </xf>
    <xf numFmtId="0" fontId="13" fillId="34" borderId="0" xfId="0" quotePrefix="1" applyFont="1" applyFill="1" applyBorder="1" applyAlignment="1">
      <alignment horizontal="center" wrapText="1"/>
    </xf>
    <xf numFmtId="2" fontId="135" fillId="34" borderId="1" xfId="0" applyNumberFormat="1" applyFont="1" applyFill="1" applyBorder="1" applyAlignment="1">
      <alignment horizontal="right" readingOrder="1"/>
    </xf>
    <xf numFmtId="1" fontId="14" fillId="35" borderId="0" xfId="0" applyNumberFormat="1" applyFont="1" applyFill="1" applyBorder="1" applyAlignment="1">
      <alignment horizontal="center" vertical="center"/>
    </xf>
    <xf numFmtId="0" fontId="14" fillId="0" borderId="15" xfId="0" applyFont="1" applyFill="1" applyBorder="1"/>
    <xf numFmtId="0" fontId="134" fillId="34" borderId="0" xfId="0" applyFont="1" applyFill="1" applyBorder="1" applyAlignment="1">
      <alignment horizontal="center" vertical="center" wrapText="1"/>
    </xf>
    <xf numFmtId="2" fontId="22" fillId="34" borderId="0" xfId="136" applyNumberFormat="1" applyFont="1" applyFill="1" applyBorder="1" applyAlignment="1">
      <alignment horizontal="center"/>
    </xf>
    <xf numFmtId="0" fontId="16" fillId="0" borderId="0" xfId="0" applyFont="1" applyFill="1" applyBorder="1" applyAlignment="1">
      <alignment vertical="center"/>
    </xf>
    <xf numFmtId="0" fontId="52" fillId="0" borderId="0" xfId="0" applyFont="1" applyBorder="1"/>
    <xf numFmtId="1" fontId="16" fillId="34" borderId="0" xfId="0" applyNumberFormat="1" applyFont="1" applyFill="1" applyBorder="1" applyAlignment="1">
      <alignment horizontal="center"/>
    </xf>
    <xf numFmtId="0" fontId="125" fillId="34" borderId="0" xfId="0" applyFont="1" applyFill="1" applyBorder="1" applyAlignment="1">
      <alignment horizontal="left" vertical="center" wrapText="1"/>
    </xf>
    <xf numFmtId="0" fontId="134" fillId="0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25" fillId="34" borderId="23" xfId="0" applyFont="1" applyFill="1" applyBorder="1"/>
    <xf numFmtId="0" fontId="125" fillId="34" borderId="23" xfId="0" applyFont="1" applyFill="1" applyBorder="1" applyAlignment="1">
      <alignment horizontal="right" readingOrder="1"/>
    </xf>
    <xf numFmtId="164" fontId="125" fillId="34" borderId="23" xfId="0" applyNumberFormat="1" applyFont="1" applyFill="1" applyBorder="1" applyAlignment="1">
      <alignment horizontal="right" readingOrder="1"/>
    </xf>
    <xf numFmtId="0" fontId="135" fillId="34" borderId="1" xfId="0" applyFont="1" applyFill="1" applyBorder="1"/>
    <xf numFmtId="2" fontId="125" fillId="34" borderId="23" xfId="0" applyNumberFormat="1" applyFont="1" applyFill="1" applyBorder="1" applyAlignment="1">
      <alignment horizontal="right" readingOrder="1"/>
    </xf>
    <xf numFmtId="0" fontId="125" fillId="0" borderId="23" xfId="0" applyFont="1" applyFill="1" applyBorder="1" applyAlignment="1">
      <alignment horizontal="right" vertical="center" readingOrder="1"/>
    </xf>
    <xf numFmtId="164" fontId="125" fillId="0" borderId="23" xfId="0" applyNumberFormat="1" applyFont="1" applyFill="1" applyBorder="1" applyAlignment="1">
      <alignment horizontal="right" vertical="center" readingOrder="1"/>
    </xf>
    <xf numFmtId="0" fontId="125" fillId="0" borderId="23" xfId="0" applyFont="1" applyFill="1" applyBorder="1" applyAlignment="1">
      <alignment horizontal="right" vertical="center"/>
    </xf>
    <xf numFmtId="164" fontId="125" fillId="0" borderId="23" xfId="0" applyNumberFormat="1" applyFont="1" applyFill="1" applyBorder="1" applyAlignment="1">
      <alignment horizontal="right" vertical="center"/>
    </xf>
    <xf numFmtId="2" fontId="125" fillId="0" borderId="23" xfId="0" applyNumberFormat="1" applyFont="1" applyFill="1" applyBorder="1" applyAlignment="1">
      <alignment horizontal="right" vertical="center"/>
    </xf>
    <xf numFmtId="0" fontId="125" fillId="0" borderId="25" xfId="0" applyFont="1" applyFill="1" applyBorder="1" applyAlignment="1">
      <alignment horizontal="right" vertical="center" readingOrder="1"/>
    </xf>
    <xf numFmtId="0" fontId="14" fillId="34" borderId="0" xfId="0" applyFont="1" applyFill="1" applyBorder="1" applyAlignment="1">
      <alignment horizontal="right" vertical="center" readingOrder="1"/>
    </xf>
    <xf numFmtId="164" fontId="14" fillId="34" borderId="0" xfId="0" applyNumberFormat="1" applyFont="1" applyFill="1" applyBorder="1" applyAlignment="1">
      <alignment horizontal="right" vertical="center" readingOrder="1"/>
    </xf>
    <xf numFmtId="164" fontId="14" fillId="34" borderId="0" xfId="0" applyNumberFormat="1" applyFont="1" applyFill="1" applyBorder="1" applyAlignment="1">
      <alignment horizontal="right" vertical="center"/>
    </xf>
    <xf numFmtId="2" fontId="14" fillId="34" borderId="0" xfId="0" applyNumberFormat="1" applyFont="1" applyFill="1" applyBorder="1" applyAlignment="1">
      <alignment horizontal="right" vertical="center"/>
    </xf>
    <xf numFmtId="0" fontId="14" fillId="34" borderId="26" xfId="0" applyFont="1" applyFill="1" applyBorder="1" applyAlignment="1">
      <alignment horizontal="right" vertical="center" readingOrder="1"/>
    </xf>
    <xf numFmtId="0" fontId="125" fillId="0" borderId="0" xfId="0" applyFont="1" applyFill="1" applyBorder="1" applyAlignment="1">
      <alignment horizontal="right" vertical="center" readingOrder="1"/>
    </xf>
    <xf numFmtId="164" fontId="125" fillId="0" borderId="0" xfId="0" applyNumberFormat="1" applyFont="1" applyFill="1" applyBorder="1" applyAlignment="1">
      <alignment horizontal="right" vertical="center" readingOrder="1"/>
    </xf>
    <xf numFmtId="0" fontId="125" fillId="0" borderId="0" xfId="0" applyFont="1" applyFill="1" applyBorder="1" applyAlignment="1">
      <alignment horizontal="right" vertical="center"/>
    </xf>
    <xf numFmtId="164" fontId="125" fillId="0" borderId="0" xfId="0" applyNumberFormat="1" applyFont="1" applyFill="1" applyBorder="1" applyAlignment="1">
      <alignment horizontal="right" vertical="center"/>
    </xf>
    <xf numFmtId="2" fontId="125" fillId="0" borderId="0" xfId="0" applyNumberFormat="1" applyFont="1" applyFill="1" applyBorder="1" applyAlignment="1">
      <alignment horizontal="right" vertical="center"/>
    </xf>
    <xf numFmtId="0" fontId="125" fillId="0" borderId="26" xfId="0" applyFont="1" applyFill="1" applyBorder="1" applyAlignment="1">
      <alignment horizontal="right" vertical="center" readingOrder="1"/>
    </xf>
    <xf numFmtId="0" fontId="125" fillId="34" borderId="0" xfId="0" applyFont="1" applyFill="1" applyBorder="1" applyAlignment="1">
      <alignment horizontal="right" vertical="center" readingOrder="1"/>
    </xf>
    <xf numFmtId="164" fontId="125" fillId="34" borderId="0" xfId="0" applyNumberFormat="1" applyFont="1" applyFill="1" applyBorder="1" applyAlignment="1">
      <alignment horizontal="right" vertical="center" readingOrder="1"/>
    </xf>
    <xf numFmtId="0" fontId="125" fillId="34" borderId="0" xfId="0" applyFont="1" applyFill="1" applyBorder="1" applyAlignment="1">
      <alignment horizontal="right" vertical="center"/>
    </xf>
    <xf numFmtId="164" fontId="125" fillId="34" borderId="0" xfId="0" applyNumberFormat="1" applyFont="1" applyFill="1" applyBorder="1" applyAlignment="1">
      <alignment horizontal="right" vertical="center"/>
    </xf>
    <xf numFmtId="2" fontId="125" fillId="34" borderId="0" xfId="0" applyNumberFormat="1" applyFont="1" applyFill="1" applyBorder="1" applyAlignment="1">
      <alignment horizontal="right" vertical="center"/>
    </xf>
    <xf numFmtId="0" fontId="125" fillId="34" borderId="26" xfId="0" applyFont="1" applyFill="1" applyBorder="1" applyAlignment="1">
      <alignment horizontal="right" vertical="center" readingOrder="1"/>
    </xf>
    <xf numFmtId="2" fontId="142" fillId="34" borderId="0" xfId="198" applyNumberFormat="1" applyFont="1" applyFill="1" applyBorder="1" applyAlignment="1">
      <alignment horizontal="center"/>
    </xf>
    <xf numFmtId="2" fontId="142" fillId="0" borderId="0" xfId="198" applyNumberFormat="1" applyFont="1" applyFill="1" applyBorder="1" applyAlignment="1">
      <alignment horizontal="center"/>
    </xf>
    <xf numFmtId="0" fontId="14" fillId="34" borderId="0" xfId="196" applyFont="1" applyFill="1" applyBorder="1" applyAlignment="1">
      <alignment horizontal="left" vertical="center"/>
    </xf>
    <xf numFmtId="2" fontId="14" fillId="34" borderId="0" xfId="196" applyNumberFormat="1" applyFont="1" applyFill="1" applyBorder="1" applyAlignment="1">
      <alignment horizontal="center" vertical="center"/>
    </xf>
    <xf numFmtId="2" fontId="12" fillId="34" borderId="0" xfId="0" applyNumberFormat="1" applyFont="1" applyFill="1" applyBorder="1" applyAlignment="1">
      <alignment horizontal="center" vertical="center"/>
    </xf>
    <xf numFmtId="3" fontId="14" fillId="0" borderId="0" xfId="0" applyNumberFormat="1" applyFont="1" applyFill="1" applyBorder="1" applyAlignment="1">
      <alignment horizontal="center" vertical="center" wrapText="1"/>
    </xf>
    <xf numFmtId="3" fontId="14" fillId="34" borderId="0" xfId="0" applyNumberFormat="1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left" vertical="center" wrapText="1"/>
    </xf>
    <xf numFmtId="1" fontId="16" fillId="0" borderId="0" xfId="0" applyNumberFormat="1" applyFont="1" applyFill="1" applyBorder="1" applyAlignment="1">
      <alignment horizontal="right" vertical="center" wrapText="1"/>
    </xf>
    <xf numFmtId="37" fontId="34" fillId="34" borderId="0" xfId="0" applyNumberFormat="1" applyFont="1" applyFill="1" applyBorder="1" applyAlignment="1">
      <alignment wrapText="1"/>
    </xf>
    <xf numFmtId="21" fontId="12" fillId="34" borderId="0" xfId="0" applyNumberFormat="1" applyFont="1" applyFill="1" applyBorder="1" applyAlignment="1">
      <alignment horizontal="center" vertical="center" wrapText="1"/>
    </xf>
    <xf numFmtId="0" fontId="18" fillId="34" borderId="0" xfId="0" applyFont="1" applyFill="1" applyBorder="1" applyAlignment="1">
      <alignment horizontal="center" vertical="center" wrapText="1"/>
    </xf>
    <xf numFmtId="21" fontId="14" fillId="34" borderId="0" xfId="0" applyNumberFormat="1" applyFont="1" applyFill="1" applyBorder="1" applyAlignment="1">
      <alignment horizontal="center" vertical="center"/>
    </xf>
    <xf numFmtId="0" fontId="17" fillId="34" borderId="0" xfId="0" applyFont="1" applyFill="1" applyBorder="1" applyAlignment="1">
      <alignment wrapText="1"/>
    </xf>
    <xf numFmtId="0" fontId="18" fillId="34" borderId="0" xfId="0" applyFont="1" applyFill="1" applyBorder="1" applyAlignment="1">
      <alignment vertical="center" wrapText="1"/>
    </xf>
    <xf numFmtId="37" fontId="13" fillId="34" borderId="0" xfId="0" applyNumberFormat="1" applyFont="1" applyFill="1" applyBorder="1" applyAlignment="1">
      <alignment vertical="center" wrapText="1"/>
    </xf>
    <xf numFmtId="0" fontId="18" fillId="34" borderId="0" xfId="0" applyFont="1" applyFill="1" applyBorder="1" applyAlignment="1">
      <alignment horizontal="left" vertical="center" wrapText="1"/>
    </xf>
    <xf numFmtId="0" fontId="24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horizontal="center" wrapText="1"/>
    </xf>
    <xf numFmtId="37" fontId="13" fillId="34" borderId="0" xfId="0" applyNumberFormat="1" applyFont="1" applyFill="1" applyBorder="1" applyAlignment="1">
      <alignment wrapText="1"/>
    </xf>
    <xf numFmtId="0" fontId="41" fillId="34" borderId="0" xfId="0" applyFont="1" applyFill="1" applyBorder="1" applyAlignment="1">
      <alignment vertical="center"/>
    </xf>
    <xf numFmtId="0" fontId="44" fillId="34" borderId="0" xfId="0" applyFont="1" applyFill="1" applyBorder="1" applyAlignment="1">
      <alignment horizontal="left" wrapText="1"/>
    </xf>
    <xf numFmtId="46" fontId="14" fillId="34" borderId="0" xfId="0" applyNumberFormat="1" applyFont="1" applyFill="1" applyBorder="1" applyAlignment="1">
      <alignment horizontal="center"/>
    </xf>
    <xf numFmtId="37" fontId="34" fillId="34" borderId="0" xfId="0" applyNumberFormat="1" applyFont="1" applyFill="1" applyBorder="1" applyAlignment="1">
      <alignment vertical="center" wrapText="1"/>
    </xf>
    <xf numFmtId="46" fontId="14" fillId="34" borderId="0" xfId="0" applyNumberFormat="1" applyFont="1" applyFill="1" applyBorder="1" applyAlignment="1">
      <alignment horizontal="center" vertical="center"/>
    </xf>
    <xf numFmtId="0" fontId="18" fillId="34" borderId="0" xfId="0" applyFont="1" applyFill="1" applyBorder="1" applyAlignment="1">
      <alignment wrapText="1"/>
    </xf>
    <xf numFmtId="0" fontId="12" fillId="34" borderId="0" xfId="0" applyFont="1" applyFill="1" applyBorder="1" applyAlignment="1">
      <alignment vertical="center" wrapText="1"/>
    </xf>
    <xf numFmtId="21" fontId="14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vertical="center" wrapText="1"/>
    </xf>
    <xf numFmtId="0" fontId="13" fillId="34" borderId="0" xfId="0" applyFont="1" applyFill="1" applyBorder="1" applyAlignment="1">
      <alignment horizontal="center"/>
    </xf>
    <xf numFmtId="21" fontId="14" fillId="34" borderId="0" xfId="0" applyNumberFormat="1" applyFont="1" applyFill="1" applyBorder="1" applyAlignment="1">
      <alignment horizontal="center"/>
    </xf>
    <xf numFmtId="0" fontId="44" fillId="34" borderId="0" xfId="0" applyFont="1" applyFill="1" applyBorder="1" applyAlignment="1">
      <alignment vertical="center" wrapText="1"/>
    </xf>
    <xf numFmtId="0" fontId="34" fillId="34" borderId="0" xfId="0" applyFont="1" applyFill="1" applyBorder="1" applyAlignment="1">
      <alignment vertical="center"/>
    </xf>
    <xf numFmtId="14" fontId="14" fillId="34" borderId="0" xfId="0" applyNumberFormat="1" applyFont="1" applyFill="1" applyBorder="1" applyAlignment="1">
      <alignment horizontal="center" vertical="center"/>
    </xf>
    <xf numFmtId="14" fontId="14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vertical="center"/>
    </xf>
    <xf numFmtId="0" fontId="16" fillId="34" borderId="0" xfId="0" applyFont="1" applyFill="1" applyBorder="1" applyAlignment="1">
      <alignment vertical="center" wrapText="1"/>
    </xf>
    <xf numFmtId="0" fontId="41" fillId="34" borderId="0" xfId="0" applyFont="1" applyFill="1" applyBorder="1"/>
    <xf numFmtId="175" fontId="14" fillId="34" borderId="0" xfId="0" applyNumberFormat="1" applyFont="1" applyFill="1" applyBorder="1" applyAlignment="1">
      <alignment horizontal="center"/>
    </xf>
    <xf numFmtId="46" fontId="12" fillId="34" borderId="0" xfId="0" applyNumberFormat="1" applyFont="1" applyFill="1" applyBorder="1" applyAlignment="1">
      <alignment horizontal="center" wrapText="1"/>
    </xf>
    <xf numFmtId="0" fontId="18" fillId="0" borderId="15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2" fontId="18" fillId="0" borderId="0" xfId="0" applyNumberFormat="1" applyFont="1" applyFill="1" applyBorder="1" applyAlignment="1">
      <alignment wrapText="1"/>
    </xf>
    <xf numFmtId="2" fontId="18" fillId="34" borderId="0" xfId="0" applyNumberFormat="1" applyFont="1" applyFill="1" applyBorder="1" applyAlignment="1">
      <alignment wrapText="1"/>
    </xf>
    <xf numFmtId="0" fontId="22" fillId="34" borderId="0" xfId="0" applyFont="1" applyFill="1" applyBorder="1" applyAlignment="1">
      <alignment horizontal="right" wrapText="1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wrapText="1"/>
    </xf>
    <xf numFmtId="2" fontId="18" fillId="34" borderId="0" xfId="0" applyNumberFormat="1" applyFont="1" applyFill="1" applyBorder="1" applyAlignment="1">
      <alignment horizontal="left" wrapText="1"/>
    </xf>
    <xf numFmtId="2" fontId="12" fillId="0" borderId="0" xfId="0" applyNumberFormat="1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vertical="center"/>
    </xf>
    <xf numFmtId="0" fontId="12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wrapText="1"/>
    </xf>
    <xf numFmtId="0" fontId="124" fillId="0" borderId="0" xfId="0" applyFont="1" applyBorder="1"/>
    <xf numFmtId="0" fontId="19" fillId="0" borderId="0" xfId="0" applyFont="1" applyBorder="1" applyAlignment="1">
      <alignment horizontal="right" wrapText="1"/>
    </xf>
    <xf numFmtId="0" fontId="19" fillId="0" borderId="0" xfId="0" applyFont="1" applyBorder="1" applyAlignment="1">
      <alignment wrapText="1"/>
    </xf>
    <xf numFmtId="0" fontId="149" fillId="0" borderId="0" xfId="0" applyFont="1" applyBorder="1"/>
    <xf numFmtId="0" fontId="150" fillId="0" borderId="0" xfId="0" applyFont="1" applyFill="1" applyBorder="1" applyAlignment="1">
      <alignment horizontal="left" wrapText="1"/>
    </xf>
    <xf numFmtId="0" fontId="135" fillId="34" borderId="9" xfId="0" applyFont="1" applyFill="1" applyBorder="1"/>
    <xf numFmtId="0" fontId="125" fillId="35" borderId="0" xfId="0" applyFont="1" applyFill="1" applyBorder="1"/>
    <xf numFmtId="0" fontId="125" fillId="35" borderId="0" xfId="0" applyFont="1" applyFill="1" applyBorder="1" applyAlignment="1">
      <alignment horizontal="right" readingOrder="1"/>
    </xf>
    <xf numFmtId="164" fontId="125" fillId="35" borderId="0" xfId="0" applyNumberFormat="1" applyFont="1" applyFill="1" applyBorder="1" applyAlignment="1">
      <alignment horizontal="right" readingOrder="1"/>
    </xf>
    <xf numFmtId="0" fontId="135" fillId="35" borderId="9" xfId="0" applyFont="1" applyFill="1" applyBorder="1"/>
    <xf numFmtId="0" fontId="135" fillId="35" borderId="1" xfId="0" applyFont="1" applyFill="1" applyBorder="1" applyAlignment="1">
      <alignment horizontal="right" readingOrder="1"/>
    </xf>
    <xf numFmtId="164" fontId="135" fillId="35" borderId="1" xfId="0" applyNumberFormat="1" applyFont="1" applyFill="1" applyBorder="1" applyAlignment="1">
      <alignment horizontal="right" readingOrder="1"/>
    </xf>
    <xf numFmtId="2" fontId="125" fillId="35" borderId="0" xfId="0" applyNumberFormat="1" applyFont="1" applyFill="1" applyBorder="1" applyAlignment="1">
      <alignment horizontal="right" readingOrder="1"/>
    </xf>
    <xf numFmtId="2" fontId="135" fillId="35" borderId="1" xfId="0" applyNumberFormat="1" applyFont="1" applyFill="1" applyBorder="1" applyAlignment="1">
      <alignment horizontal="right" readingOrder="1"/>
    </xf>
    <xf numFmtId="0" fontId="125" fillId="35" borderId="26" xfId="0" applyFont="1" applyFill="1" applyBorder="1" applyAlignment="1">
      <alignment horizontal="right" readingOrder="1"/>
    </xf>
    <xf numFmtId="0" fontId="135" fillId="35" borderId="12" xfId="0" applyFont="1" applyFill="1" applyBorder="1" applyAlignment="1">
      <alignment horizontal="right" readingOrder="1"/>
    </xf>
    <xf numFmtId="0" fontId="16" fillId="0" borderId="0" xfId="0" applyFont="1" applyFill="1" applyBorder="1" applyAlignment="1">
      <alignment horizontal="center" vertical="center" wrapText="1"/>
    </xf>
    <xf numFmtId="22" fontId="12" fillId="0" borderId="0" xfId="0" applyNumberFormat="1" applyFont="1" applyFill="1" applyBorder="1" applyAlignment="1">
      <alignment horizontal="center" wrapText="1"/>
    </xf>
    <xf numFmtId="2" fontId="18" fillId="0" borderId="0" xfId="0" applyNumberFormat="1" applyFont="1" applyFill="1" applyBorder="1" applyAlignment="1">
      <alignment horizontal="left" wrapText="1"/>
    </xf>
    <xf numFmtId="0" fontId="41" fillId="34" borderId="0" xfId="195" applyFont="1" applyFill="1" applyBorder="1"/>
    <xf numFmtId="0" fontId="18" fillId="34" borderId="15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6" fillId="34" borderId="0" xfId="0" applyFont="1" applyFill="1" applyBorder="1"/>
    <xf numFmtId="0" fontId="12" fillId="34" borderId="0" xfId="0" applyFont="1" applyFill="1" applyBorder="1" applyAlignment="1">
      <alignment horizontal="left" vertical="center" wrapText="1"/>
    </xf>
    <xf numFmtId="1" fontId="143" fillId="0" borderId="2" xfId="0" applyNumberFormat="1" applyFont="1" applyFill="1" applyBorder="1" applyAlignment="1">
      <alignment horizontal="center" vertical="center"/>
    </xf>
    <xf numFmtId="164" fontId="14" fillId="36" borderId="0" xfId="0" applyNumberFormat="1" applyFont="1" applyFill="1" applyBorder="1" applyAlignment="1">
      <alignment horizontal="center" vertical="center"/>
    </xf>
    <xf numFmtId="178" fontId="14" fillId="0" borderId="0" xfId="0" applyNumberFormat="1" applyFont="1"/>
    <xf numFmtId="178" fontId="6" fillId="0" borderId="0" xfId="0" applyNumberFormat="1" applyFont="1" applyBorder="1"/>
    <xf numFmtId="179" fontId="6" fillId="0" borderId="0" xfId="0" applyNumberFormat="1" applyFont="1" applyBorder="1"/>
    <xf numFmtId="0" fontId="14" fillId="0" borderId="0" xfId="196" applyFont="1" applyFill="1" applyBorder="1" applyAlignment="1"/>
    <xf numFmtId="164" fontId="133" fillId="36" borderId="0" xfId="0" applyNumberFormat="1" applyFont="1" applyFill="1" applyBorder="1" applyAlignment="1">
      <alignment horizontal="center" vertical="center" wrapText="1"/>
    </xf>
    <xf numFmtId="164" fontId="14" fillId="36" borderId="0" xfId="0" applyNumberFormat="1" applyFont="1" applyFill="1" applyBorder="1" applyAlignment="1">
      <alignment horizontal="left" vertical="center" wrapText="1"/>
    </xf>
    <xf numFmtId="0" fontId="14" fillId="36" borderId="0" xfId="0" applyFont="1" applyFill="1" applyBorder="1" applyAlignment="1">
      <alignment horizontal="center" vertical="center"/>
    </xf>
    <xf numFmtId="164" fontId="14" fillId="36" borderId="0" xfId="0" applyNumberFormat="1" applyFont="1" applyFill="1" applyBorder="1" applyAlignment="1">
      <alignment horizontal="center"/>
    </xf>
    <xf numFmtId="164" fontId="14" fillId="36" borderId="0" xfId="0" applyNumberFormat="1" applyFont="1" applyFill="1" applyBorder="1" applyAlignment="1">
      <alignment horizontal="right" vertical="center" wrapText="1"/>
    </xf>
    <xf numFmtId="2" fontId="14" fillId="0" borderId="0" xfId="196" applyNumberFormat="1" applyFont="1" applyFill="1" applyBorder="1" applyAlignment="1">
      <alignment horizontal="center" vertical="center"/>
    </xf>
    <xf numFmtId="2" fontId="0" fillId="0" borderId="0" xfId="0" applyNumberFormat="1"/>
    <xf numFmtId="0" fontId="22" fillId="34" borderId="0" xfId="196" applyFont="1" applyFill="1" applyBorder="1" applyAlignment="1">
      <alignment horizontal="left"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51" fillId="0" borderId="0" xfId="0" applyFont="1" applyAlignment="1">
      <alignment wrapText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22" fillId="0" borderId="0" xfId="136" applyNumberFormat="1" applyFont="1" applyFill="1" applyBorder="1" applyAlignment="1">
      <alignment horizontal="center" vertical="center"/>
    </xf>
    <xf numFmtId="2" fontId="22" fillId="0" borderId="0" xfId="136" applyNumberFormat="1" applyFont="1" applyFill="1" applyBorder="1" applyAlignment="1">
      <alignment horizontal="center" vertical="center"/>
    </xf>
    <xf numFmtId="165" fontId="14" fillId="0" borderId="0" xfId="0" applyNumberFormat="1" applyFont="1"/>
    <xf numFmtId="1" fontId="12" fillId="0" borderId="0" xfId="0" applyNumberFormat="1" applyFont="1" applyFill="1" applyBorder="1" applyAlignment="1">
      <alignment horizontal="center" vertical="center"/>
    </xf>
    <xf numFmtId="1" fontId="17" fillId="0" borderId="0" xfId="0" applyNumberFormat="1" applyFont="1" applyBorder="1" applyAlignment="1">
      <alignment horizontal="left" wrapText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2" fontId="22" fillId="34" borderId="23" xfId="196" applyNumberFormat="1" applyFont="1" applyFill="1" applyBorder="1" applyAlignment="1">
      <alignment horizontal="center"/>
    </xf>
    <xf numFmtId="167" fontId="14" fillId="34" borderId="0" xfId="0" applyNumberFormat="1" applyFont="1" applyFill="1" applyBorder="1" applyAlignment="1">
      <alignment horizontal="center" vertical="center"/>
    </xf>
    <xf numFmtId="0" fontId="22" fillId="0" borderId="2" xfId="0" applyFont="1" applyBorder="1" applyAlignment="1">
      <alignment horizontal="center" vertical="top"/>
    </xf>
    <xf numFmtId="1" fontId="12" fillId="34" borderId="0" xfId="0" applyNumberFormat="1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 wrapText="1"/>
    </xf>
    <xf numFmtId="1" fontId="13" fillId="0" borderId="0" xfId="0" applyNumberFormat="1" applyFont="1"/>
    <xf numFmtId="0" fontId="151" fillId="0" borderId="0" xfId="0" applyFont="1" applyFill="1" applyBorder="1" applyAlignment="1">
      <alignment horizontal="center" vertical="center" wrapText="1"/>
    </xf>
    <xf numFmtId="2" fontId="151" fillId="0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left" vertical="top" wrapText="1"/>
    </xf>
    <xf numFmtId="2" fontId="13" fillId="0" borderId="0" xfId="0" applyNumberFormat="1" applyFont="1" applyBorder="1" applyAlignment="1">
      <alignment horizontal="center" vertical="center"/>
    </xf>
    <xf numFmtId="2" fontId="13" fillId="0" borderId="15" xfId="0" applyNumberFormat="1" applyFont="1" applyBorder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25" fillId="0" borderId="11" xfId="0" applyFont="1" applyFill="1" applyBorder="1"/>
    <xf numFmtId="0" fontId="125" fillId="0" borderId="23" xfId="0" applyFont="1" applyFill="1" applyBorder="1" applyAlignment="1">
      <alignment horizontal="right" readingOrder="1"/>
    </xf>
    <xf numFmtId="164" fontId="125" fillId="0" borderId="23" xfId="0" applyNumberFormat="1" applyFont="1" applyFill="1" applyBorder="1" applyAlignment="1">
      <alignment horizontal="right" readingOrder="1"/>
    </xf>
    <xf numFmtId="2" fontId="125" fillId="0" borderId="23" xfId="0" applyNumberFormat="1" applyFont="1" applyFill="1" applyBorder="1" applyAlignment="1">
      <alignment horizontal="right" readingOrder="1"/>
    </xf>
    <xf numFmtId="0" fontId="125" fillId="0" borderId="25" xfId="0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164" fontId="14" fillId="34" borderId="0" xfId="0" applyNumberFormat="1" applyFont="1" applyFill="1" applyBorder="1" applyAlignment="1">
      <alignment horizontal="left" vertical="top" wrapText="1"/>
    </xf>
    <xf numFmtId="0" fontId="135" fillId="34" borderId="0" xfId="0" applyFont="1" applyFill="1" applyBorder="1" applyAlignment="1">
      <alignment horizontal="center" vertical="top" wrapText="1"/>
    </xf>
    <xf numFmtId="164" fontId="133" fillId="34" borderId="0" xfId="0" applyNumberFormat="1" applyFont="1" applyFill="1" applyBorder="1" applyAlignment="1">
      <alignment horizontal="center" vertical="top" wrapText="1"/>
    </xf>
    <xf numFmtId="164" fontId="14" fillId="0" borderId="0" xfId="0" applyNumberFormat="1" applyFont="1" applyFill="1" applyBorder="1" applyAlignment="1">
      <alignment horizontal="left" vertical="top" wrapText="1"/>
    </xf>
    <xf numFmtId="0" fontId="135" fillId="0" borderId="0" xfId="0" applyFont="1" applyFill="1" applyBorder="1" applyAlignment="1">
      <alignment horizontal="center" vertical="top" wrapText="1"/>
    </xf>
    <xf numFmtId="2" fontId="6" fillId="34" borderId="0" xfId="0" applyNumberFormat="1" applyFont="1" applyFill="1" applyBorder="1" applyAlignment="1">
      <alignment horizontal="center" vertical="center"/>
    </xf>
    <xf numFmtId="2" fontId="125" fillId="34" borderId="0" xfId="0" applyNumberFormat="1" applyFont="1" applyFill="1" applyAlignment="1">
      <alignment horizontal="center"/>
    </xf>
    <xf numFmtId="0" fontId="12" fillId="34" borderId="0" xfId="0" applyFont="1" applyFill="1" applyBorder="1" applyAlignment="1">
      <alignment horizontal="left" vertical="center" wrapText="1"/>
    </xf>
    <xf numFmtId="0" fontId="151" fillId="34" borderId="0" xfId="0" applyFont="1" applyFill="1" applyBorder="1" applyAlignment="1">
      <alignment horizontal="center" vertical="center" wrapText="1"/>
    </xf>
    <xf numFmtId="2" fontId="151" fillId="34" borderId="0" xfId="0" applyNumberFormat="1" applyFont="1" applyFill="1" applyBorder="1" applyAlignment="1">
      <alignment horizontal="center" vertical="center" wrapText="1"/>
    </xf>
    <xf numFmtId="0" fontId="14" fillId="34" borderId="0" xfId="0" quotePrefix="1" applyFont="1" applyFill="1" applyBorder="1" applyAlignment="1">
      <alignment horizontal="center"/>
    </xf>
    <xf numFmtId="0" fontId="14" fillId="0" borderId="15" xfId="0" applyFont="1" applyFill="1" applyBorder="1" applyAlignment="1">
      <alignment horizontal="right"/>
    </xf>
    <xf numFmtId="0" fontId="6" fillId="34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4" fillId="34" borderId="15" xfId="196" applyFont="1" applyFill="1" applyBorder="1" applyAlignment="1">
      <alignment horizontal="left" vertical="center"/>
    </xf>
    <xf numFmtId="2" fontId="14" fillId="34" borderId="15" xfId="196" applyNumberFormat="1" applyFont="1" applyFill="1" applyBorder="1" applyAlignment="1">
      <alignment horizontal="center" vertical="center"/>
    </xf>
    <xf numFmtId="2" fontId="12" fillId="34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/>
    <xf numFmtId="0" fontId="12" fillId="0" borderId="15" xfId="0" applyFont="1" applyFill="1" applyBorder="1" applyAlignment="1">
      <alignment horizontal="right" vertical="center" wrapText="1"/>
    </xf>
    <xf numFmtId="0" fontId="16" fillId="34" borderId="0" xfId="0" applyFont="1" applyFill="1" applyBorder="1" applyAlignment="1">
      <alignment horizontal="left" vertical="center"/>
    </xf>
    <xf numFmtId="1" fontId="16" fillId="0" borderId="0" xfId="0" applyNumberFormat="1" applyFont="1" applyFill="1" applyBorder="1" applyAlignment="1">
      <alignment horizontal="center" wrapText="1"/>
    </xf>
    <xf numFmtId="0" fontId="22" fillId="34" borderId="0" xfId="0" applyFont="1" applyFill="1" applyBorder="1" applyAlignment="1">
      <alignment vertical="center" wrapText="1"/>
    </xf>
    <xf numFmtId="0" fontId="22" fillId="34" borderId="0" xfId="0" applyFont="1" applyFill="1" applyBorder="1" applyAlignment="1">
      <alignment horizontal="center"/>
    </xf>
    <xf numFmtId="0" fontId="22" fillId="34" borderId="0" xfId="0" applyFont="1" applyFill="1" applyBorder="1" applyAlignment="1">
      <alignment horizontal="left" vertical="center" wrapText="1"/>
    </xf>
    <xf numFmtId="0" fontId="22" fillId="0" borderId="0" xfId="0" applyFont="1" applyFill="1" applyBorder="1" applyAlignment="1">
      <alignment horizontal="right" vertical="center" wrapText="1"/>
    </xf>
    <xf numFmtId="1" fontId="22" fillId="0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2" fontId="134" fillId="34" borderId="0" xfId="0" applyNumberFormat="1" applyFont="1" applyFill="1" applyBorder="1" applyAlignment="1">
      <alignment horizontal="center" vertical="center" wrapText="1"/>
    </xf>
    <xf numFmtId="2" fontId="135" fillId="0" borderId="0" xfId="0" applyNumberFormat="1" applyFont="1" applyFill="1" applyBorder="1" applyAlignment="1">
      <alignment horizontal="center" vertical="center" wrapText="1"/>
    </xf>
    <xf numFmtId="1" fontId="134" fillId="0" borderId="0" xfId="0" applyNumberFormat="1" applyFont="1" applyFill="1" applyBorder="1" applyAlignment="1">
      <alignment horizontal="center" vertical="center" wrapText="1"/>
    </xf>
    <xf numFmtId="164" fontId="12" fillId="34" borderId="0" xfId="0" applyNumberFormat="1" applyFont="1" applyFill="1" applyBorder="1" applyAlignment="1">
      <alignment horizontal="center" vertical="center" wrapText="1"/>
    </xf>
    <xf numFmtId="1" fontId="12" fillId="35" borderId="0" xfId="0" applyNumberFormat="1" applyFont="1" applyFill="1" applyBorder="1" applyAlignment="1">
      <alignment horizontal="left" vertical="center" wrapText="1"/>
    </xf>
    <xf numFmtId="1" fontId="16" fillId="34" borderId="0" xfId="0" applyNumberFormat="1" applyFont="1" applyFill="1" applyBorder="1" applyAlignment="1">
      <alignment horizontal="left" vertical="center" wrapText="1"/>
    </xf>
    <xf numFmtId="1" fontId="16" fillId="34" borderId="0" xfId="0" applyNumberFormat="1" applyFont="1" applyFill="1" applyBorder="1" applyAlignment="1">
      <alignment horizontal="right" vertical="center" wrapText="1"/>
    </xf>
    <xf numFmtId="0" fontId="18" fillId="34" borderId="15" xfId="0" applyFont="1" applyFill="1" applyBorder="1" applyAlignment="1">
      <alignment horizontal="left" vertical="center" wrapText="1"/>
    </xf>
    <xf numFmtId="2" fontId="125" fillId="34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13" fillId="0" borderId="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center" vertical="center"/>
    </xf>
    <xf numFmtId="0" fontId="29" fillId="0" borderId="15" xfId="0" applyFont="1" applyBorder="1" applyAlignment="1">
      <alignment horizontal="center" vertical="center"/>
    </xf>
    <xf numFmtId="0" fontId="15" fillId="0" borderId="15" xfId="0" applyFont="1" applyFill="1" applyBorder="1" applyAlignment="1">
      <alignment horizontal="center" vertical="center" wrapText="1"/>
    </xf>
    <xf numFmtId="2" fontId="15" fillId="0" borderId="15" xfId="0" applyNumberFormat="1" applyFont="1" applyFill="1" applyBorder="1" applyAlignment="1">
      <alignment horizontal="center" vertical="center" wrapText="1"/>
    </xf>
    <xf numFmtId="1" fontId="15" fillId="0" borderId="15" xfId="0" applyNumberFormat="1" applyFont="1" applyFill="1" applyBorder="1" applyAlignment="1">
      <alignment horizontal="center" vertical="center" wrapText="1"/>
    </xf>
    <xf numFmtId="2" fontId="15" fillId="0" borderId="15" xfId="0" applyNumberFormat="1" applyFont="1" applyFill="1" applyBorder="1" applyAlignment="1">
      <alignment horizontal="center" wrapText="1"/>
    </xf>
    <xf numFmtId="1" fontId="15" fillId="0" borderId="15" xfId="0" applyNumberFormat="1" applyFont="1" applyFill="1" applyBorder="1" applyAlignment="1">
      <alignment horizontal="center" wrapText="1"/>
    </xf>
    <xf numFmtId="0" fontId="29" fillId="34" borderId="15" xfId="0" applyFont="1" applyFill="1" applyBorder="1" applyAlignment="1">
      <alignment horizontal="center"/>
    </xf>
    <xf numFmtId="2" fontId="29" fillId="34" borderId="15" xfId="0" applyNumberFormat="1" applyFont="1" applyFill="1" applyBorder="1" applyAlignment="1">
      <alignment horizontal="center"/>
    </xf>
    <xf numFmtId="0" fontId="29" fillId="34" borderId="15" xfId="0" applyFont="1" applyFill="1" applyBorder="1"/>
    <xf numFmtId="0" fontId="29" fillId="0" borderId="15" xfId="0" applyFont="1" applyBorder="1" applyAlignment="1">
      <alignment horizontal="center"/>
    </xf>
    <xf numFmtId="164" fontId="13" fillId="0" borderId="0" xfId="0" applyNumberFormat="1" applyFont="1" applyFill="1"/>
    <xf numFmtId="49" fontId="18" fillId="0" borderId="0" xfId="0" applyNumberFormat="1" applyFont="1" applyFill="1" applyBorder="1" applyAlignment="1">
      <alignment horizontal="center" vertical="center" wrapText="1"/>
    </xf>
    <xf numFmtId="49" fontId="18" fillId="34" borderId="0" xfId="0" applyNumberFormat="1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4" fillId="34" borderId="0" xfId="136" quotePrefix="1" applyNumberFormat="1" applyFont="1" applyFill="1" applyBorder="1" applyAlignment="1">
      <alignment horizontal="center" vertical="center"/>
    </xf>
    <xf numFmtId="4" fontId="14" fillId="34" borderId="0" xfId="0" applyNumberFormat="1" applyFont="1" applyFill="1" applyBorder="1" applyAlignment="1">
      <alignment horizontal="center" vertical="center" wrapText="1"/>
    </xf>
    <xf numFmtId="2" fontId="14" fillId="34" borderId="0" xfId="0" applyNumberFormat="1" applyFont="1" applyFill="1" applyBorder="1" applyAlignment="1">
      <alignment vertical="center" wrapText="1"/>
    </xf>
    <xf numFmtId="2" fontId="14" fillId="0" borderId="0" xfId="0" applyNumberFormat="1" applyFont="1" applyFill="1" applyBorder="1" applyAlignment="1">
      <alignment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35" fillId="0" borderId="0" xfId="0" applyFont="1" applyFill="1" applyBorder="1" applyAlignment="1">
      <alignment horizontal="right" readingOrder="1"/>
    </xf>
    <xf numFmtId="164" fontId="135" fillId="0" borderId="0" xfId="0" applyNumberFormat="1" applyFont="1" applyFill="1" applyBorder="1" applyAlignment="1">
      <alignment horizontal="right" readingOrder="1"/>
    </xf>
    <xf numFmtId="2" fontId="135" fillId="0" borderId="0" xfId="0" applyNumberFormat="1" applyFont="1" applyFill="1" applyBorder="1" applyAlignment="1">
      <alignment horizontal="right" readingOrder="1"/>
    </xf>
    <xf numFmtId="0" fontId="135" fillId="0" borderId="26" xfId="0" applyFont="1" applyFill="1" applyBorder="1" applyAlignment="1">
      <alignment horizontal="right" readingOrder="1"/>
    </xf>
    <xf numFmtId="0" fontId="125" fillId="34" borderId="11" xfId="0" applyFont="1" applyFill="1" applyBorder="1"/>
    <xf numFmtId="164" fontId="125" fillId="34" borderId="25" xfId="0" applyNumberFormat="1" applyFont="1" applyFill="1" applyBorder="1" applyAlignment="1">
      <alignment horizontal="right" readingOrder="1"/>
    </xf>
    <xf numFmtId="0" fontId="12" fillId="34" borderId="0" xfId="0" applyFont="1" applyFill="1" applyBorder="1" applyAlignment="1">
      <alignment horizontal="left" vertical="center" wrapText="1"/>
    </xf>
    <xf numFmtId="0" fontId="90" fillId="0" borderId="0" xfId="0" applyFont="1" applyAlignment="1">
      <alignment horizontal="left"/>
    </xf>
    <xf numFmtId="0" fontId="12" fillId="34" borderId="0" xfId="0" applyFont="1" applyFill="1" applyBorder="1" applyAlignment="1">
      <alignment horizontal="center" vertical="center" wrapText="1"/>
    </xf>
    <xf numFmtId="0" fontId="15" fillId="0" borderId="1" xfId="0" applyFont="1" applyBorder="1" applyAlignment="1"/>
    <xf numFmtId="21" fontId="14" fillId="34" borderId="15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/>
    </xf>
    <xf numFmtId="0" fontId="12" fillId="34" borderId="0" xfId="0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left" vertical="center" wrapText="1"/>
    </xf>
    <xf numFmtId="2" fontId="13" fillId="0" borderId="15" xfId="0" applyNumberFormat="1" applyFont="1" applyFill="1" applyBorder="1" applyAlignment="1">
      <alignment horizontal="center" vertical="center"/>
    </xf>
    <xf numFmtId="0" fontId="14" fillId="0" borderId="0" xfId="136" quotePrefix="1" applyNumberFormat="1" applyFont="1" applyFill="1" applyBorder="1" applyAlignment="1">
      <alignment horizontal="center" vertical="center"/>
    </xf>
    <xf numFmtId="2" fontId="16" fillId="34" borderId="0" xfId="0" applyNumberFormat="1" applyFont="1" applyFill="1" applyBorder="1" applyAlignment="1">
      <alignment horizontal="center" vertical="center"/>
    </xf>
    <xf numFmtId="4" fontId="14" fillId="0" borderId="0" xfId="0" applyNumberFormat="1" applyFont="1" applyFill="1" applyBorder="1" applyAlignment="1">
      <alignment horizontal="center" vertical="center" wrapText="1"/>
    </xf>
    <xf numFmtId="0" fontId="14" fillId="34" borderId="15" xfId="0" applyFont="1" applyFill="1" applyBorder="1" applyAlignment="1">
      <alignment horizontal="left" vertical="center" wrapText="1"/>
    </xf>
    <xf numFmtId="0" fontId="14" fillId="34" borderId="15" xfId="0" applyFont="1" applyFill="1" applyBorder="1" applyAlignment="1">
      <alignment horizontal="center" vertical="center" wrapText="1"/>
    </xf>
    <xf numFmtId="2" fontId="14" fillId="34" borderId="15" xfId="0" applyNumberFormat="1" applyFont="1" applyFill="1" applyBorder="1" applyAlignment="1">
      <alignment horizontal="center" vertical="center" wrapText="1"/>
    </xf>
    <xf numFmtId="3" fontId="14" fillId="34" borderId="15" xfId="0" applyNumberFormat="1" applyFont="1" applyFill="1" applyBorder="1" applyAlignment="1">
      <alignment horizontal="center" vertical="center" wrapText="1"/>
    </xf>
    <xf numFmtId="0" fontId="14" fillId="34" borderId="15" xfId="0" applyFont="1" applyFill="1" applyBorder="1" applyAlignment="1">
      <alignment horizontal="right" vertical="center" wrapText="1"/>
    </xf>
    <xf numFmtId="0" fontId="12" fillId="34" borderId="0" xfId="0" applyFont="1" applyFill="1" applyBorder="1" applyAlignment="1">
      <alignment horizontal="left" vertical="center" wrapText="1"/>
    </xf>
    <xf numFmtId="49" fontId="14" fillId="0" borderId="0" xfId="0" applyNumberFormat="1" applyFont="1" applyBorder="1" applyAlignment="1">
      <alignment horizontal="center" vertical="top" wrapText="1"/>
    </xf>
    <xf numFmtId="0" fontId="14" fillId="0" borderId="0" xfId="0" applyFont="1" applyFill="1" applyBorder="1" applyAlignment="1">
      <alignment vertical="top"/>
    </xf>
    <xf numFmtId="0" fontId="152" fillId="0" borderId="1" xfId="0" applyFont="1" applyFill="1" applyBorder="1" applyAlignment="1">
      <alignment horizontal="right" readingOrder="1"/>
    </xf>
    <xf numFmtId="4" fontId="14" fillId="34" borderId="15" xfId="0" applyNumberFormat="1" applyFont="1" applyFill="1" applyBorder="1" applyAlignment="1">
      <alignment horizontal="center" vertical="center" wrapText="1"/>
    </xf>
    <xf numFmtId="37" fontId="13" fillId="34" borderId="15" xfId="0" applyNumberFormat="1" applyFont="1" applyFill="1" applyBorder="1" applyAlignment="1">
      <alignment vertical="center" wrapText="1"/>
    </xf>
    <xf numFmtId="0" fontId="12" fillId="34" borderId="15" xfId="0" applyFont="1" applyFill="1" applyBorder="1" applyAlignment="1">
      <alignment horizontal="center" vertical="center" wrapText="1"/>
    </xf>
    <xf numFmtId="0" fontId="13" fillId="34" borderId="15" xfId="0" applyFont="1" applyFill="1" applyBorder="1" applyAlignment="1">
      <alignment horizontal="center" vertical="center"/>
    </xf>
    <xf numFmtId="180" fontId="14" fillId="0" borderId="0" xfId="0" applyNumberFormat="1" applyFont="1"/>
    <xf numFmtId="174" fontId="125" fillId="0" borderId="15" xfId="0" applyNumberFormat="1" applyFont="1" applyFill="1" applyBorder="1" applyAlignment="1">
      <alignment horizontal="center" wrapText="1"/>
    </xf>
    <xf numFmtId="0" fontId="12" fillId="34" borderId="0" xfId="0" applyFont="1" applyFill="1" applyBorder="1" applyAlignment="1">
      <alignment horizontal="left" vertical="center" wrapText="1"/>
    </xf>
    <xf numFmtId="0" fontId="22" fillId="34" borderId="0" xfId="136" applyNumberFormat="1" applyFont="1" applyFill="1" applyBorder="1" applyAlignment="1">
      <alignment horizontal="center" vertical="center"/>
    </xf>
    <xf numFmtId="2" fontId="22" fillId="34" borderId="0" xfId="136" applyNumberFormat="1" applyFont="1" applyFill="1" applyBorder="1" applyAlignment="1">
      <alignment horizontal="center" vertical="center"/>
    </xf>
    <xf numFmtId="2" fontId="41" fillId="0" borderId="0" xfId="0" applyNumberFormat="1" applyFont="1" applyBorder="1" applyAlignment="1">
      <alignment horizontal="center"/>
    </xf>
    <xf numFmtId="0" fontId="14" fillId="0" borderId="2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2" fontId="41" fillId="34" borderId="0" xfId="0" applyNumberFormat="1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1" fontId="14" fillId="34" borderId="0" xfId="0" applyNumberFormat="1" applyFont="1" applyFill="1" applyBorder="1" applyAlignment="1">
      <alignment horizontal="right" vertical="center" wrapText="1"/>
    </xf>
    <xf numFmtId="1" fontId="14" fillId="34" borderId="0" xfId="0" applyNumberFormat="1" applyFont="1" applyFill="1" applyBorder="1" applyAlignment="1">
      <alignment horizontal="left" vertical="center" wrapText="1"/>
    </xf>
    <xf numFmtId="0" fontId="14" fillId="34" borderId="15" xfId="0" applyFont="1" applyFill="1" applyBorder="1" applyAlignment="1">
      <alignment horizontal="right" vertical="center"/>
    </xf>
    <xf numFmtId="164" fontId="14" fillId="0" borderId="0" xfId="0" applyNumberFormat="1" applyFont="1" applyAlignment="1">
      <alignment vertical="center"/>
    </xf>
    <xf numFmtId="0" fontId="133" fillId="34" borderId="15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7" fillId="0" borderId="0" xfId="0" applyFont="1"/>
    <xf numFmtId="1" fontId="22" fillId="34" borderId="0" xfId="0" applyNumberFormat="1" applyFont="1" applyFill="1" applyBorder="1" applyAlignment="1">
      <alignment horizontal="center" vertical="center" wrapText="1"/>
    </xf>
    <xf numFmtId="2" fontId="22" fillId="34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12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left" vertical="center" wrapText="1"/>
    </xf>
    <xf numFmtId="0" fontId="18" fillId="0" borderId="27" xfId="0" applyFont="1" applyFill="1" applyBorder="1" applyAlignment="1">
      <alignment horizontal="center" vertical="center" wrapText="1"/>
    </xf>
    <xf numFmtId="0" fontId="18" fillId="0" borderId="3" xfId="0" applyFont="1" applyFill="1" applyBorder="1" applyAlignment="1">
      <alignment horizontal="center" vertical="center" wrapText="1"/>
    </xf>
    <xf numFmtId="0" fontId="18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22" fillId="0" borderId="0" xfId="196" applyFont="1" applyFill="1" applyBorder="1" applyAlignment="1">
      <alignment horizontal="left" vertical="center"/>
    </xf>
    <xf numFmtId="46" fontId="12" fillId="34" borderId="0" xfId="0" applyNumberFormat="1" applyFont="1" applyFill="1" applyBorder="1" applyAlignment="1">
      <alignment horizontal="center" vertical="center"/>
    </xf>
    <xf numFmtId="0" fontId="41" fillId="34" borderId="15" xfId="0" applyFont="1" applyFill="1" applyBorder="1"/>
    <xf numFmtId="0" fontId="41" fillId="34" borderId="15" xfId="0" applyFont="1" applyFill="1" applyBorder="1" applyAlignment="1">
      <alignment horizontal="center"/>
    </xf>
    <xf numFmtId="0" fontId="44" fillId="34" borderId="15" xfId="0" applyFont="1" applyFill="1" applyBorder="1" applyAlignment="1">
      <alignment horizontal="left" vertical="center" wrapText="1"/>
    </xf>
    <xf numFmtId="2" fontId="12" fillId="0" borderId="0" xfId="0" applyNumberFormat="1" applyFont="1" applyBorder="1" applyAlignment="1">
      <alignment horizontal="right"/>
    </xf>
    <xf numFmtId="2" fontId="24" fillId="0" borderId="0" xfId="0" applyNumberFormat="1" applyFont="1"/>
    <xf numFmtId="2" fontId="14" fillId="0" borderId="0" xfId="0" applyNumberFormat="1" applyFont="1" applyAlignment="1">
      <alignment horizontal="right"/>
    </xf>
    <xf numFmtId="0" fontId="26" fillId="0" borderId="27" xfId="0" applyFont="1" applyFill="1" applyBorder="1" applyAlignment="1">
      <alignment horizontal="center" vertical="center" wrapText="1"/>
    </xf>
    <xf numFmtId="0" fontId="18" fillId="0" borderId="28" xfId="0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29" fillId="0" borderId="2" xfId="0" applyFont="1" applyFill="1" applyBorder="1" applyAlignment="1">
      <alignment horizontal="center" vertical="center" wrapText="1"/>
    </xf>
    <xf numFmtId="2" fontId="14" fillId="34" borderId="15" xfId="0" applyNumberFormat="1" applyFont="1" applyFill="1" applyBorder="1" applyAlignment="1">
      <alignment horizontal="center"/>
    </xf>
    <xf numFmtId="2" fontId="125" fillId="34" borderId="0" xfId="0" applyNumberFormat="1" applyFont="1" applyFill="1" applyBorder="1" applyAlignment="1">
      <alignment horizontal="center" wrapText="1"/>
    </xf>
    <xf numFmtId="1" fontId="14" fillId="0" borderId="0" xfId="0" applyNumberFormat="1" applyFont="1" applyFill="1" applyBorder="1" applyAlignment="1">
      <alignment horizontal="right" vertical="center" wrapText="1"/>
    </xf>
    <xf numFmtId="1" fontId="14" fillId="0" borderId="0" xfId="0" applyNumberFormat="1" applyFont="1" applyFill="1" applyBorder="1" applyAlignment="1">
      <alignment horizontal="left" vertical="center" wrapText="1"/>
    </xf>
    <xf numFmtId="1" fontId="12" fillId="34" borderId="15" xfId="0" applyNumberFormat="1" applyFont="1" applyFill="1" applyBorder="1" applyAlignment="1">
      <alignment horizontal="left" vertical="center" wrapText="1"/>
    </xf>
    <xf numFmtId="1" fontId="12" fillId="34" borderId="15" xfId="0" applyNumberFormat="1" applyFont="1" applyFill="1" applyBorder="1" applyAlignment="1">
      <alignment horizontal="center" vertical="center" wrapText="1"/>
    </xf>
    <xf numFmtId="1" fontId="14" fillId="34" borderId="15" xfId="0" applyNumberFormat="1" applyFont="1" applyFill="1" applyBorder="1" applyAlignment="1">
      <alignment horizontal="center" vertical="center" wrapText="1"/>
    </xf>
    <xf numFmtId="1" fontId="14" fillId="34" borderId="15" xfId="0" applyNumberFormat="1" applyFont="1" applyFill="1" applyBorder="1" applyAlignment="1">
      <alignment horizontal="right" vertical="center" wrapText="1"/>
    </xf>
    <xf numFmtId="1" fontId="14" fillId="34" borderId="15" xfId="0" applyNumberFormat="1" applyFont="1" applyFill="1" applyBorder="1" applyAlignment="1">
      <alignment horizontal="left" vertical="center" wrapText="1"/>
    </xf>
    <xf numFmtId="164" fontId="14" fillId="34" borderId="15" xfId="0" applyNumberFormat="1" applyFont="1" applyFill="1" applyBorder="1" applyAlignment="1">
      <alignment horizontal="center" vertical="center" wrapText="1"/>
    </xf>
    <xf numFmtId="164" fontId="133" fillId="34" borderId="15" xfId="0" applyNumberFormat="1" applyFont="1" applyFill="1" applyBorder="1" applyAlignment="1">
      <alignment horizontal="center" vertical="center" wrapText="1"/>
    </xf>
    <xf numFmtId="164" fontId="14" fillId="34" borderId="15" xfId="0" applyNumberFormat="1" applyFont="1" applyFill="1" applyBorder="1" applyAlignment="1">
      <alignment horizontal="center" vertical="center"/>
    </xf>
    <xf numFmtId="164" fontId="125" fillId="34" borderId="15" xfId="0" applyNumberFormat="1" applyFont="1" applyFill="1" applyBorder="1" applyAlignment="1">
      <alignment horizontal="center" vertical="center" wrapText="1"/>
    </xf>
    <xf numFmtId="164" fontId="125" fillId="34" borderId="15" xfId="0" applyNumberFormat="1" applyFont="1" applyFill="1" applyBorder="1" applyAlignment="1">
      <alignment horizontal="center" vertical="center"/>
    </xf>
    <xf numFmtId="1" fontId="14" fillId="34" borderId="15" xfId="0" applyNumberFormat="1" applyFont="1" applyFill="1" applyBorder="1" applyAlignment="1">
      <alignment horizontal="center" vertical="center"/>
    </xf>
    <xf numFmtId="164" fontId="14" fillId="34" borderId="15" xfId="0" applyNumberFormat="1" applyFont="1" applyFill="1" applyBorder="1" applyAlignment="1">
      <alignment horizontal="center"/>
    </xf>
    <xf numFmtId="166" fontId="14" fillId="34" borderId="15" xfId="0" applyNumberFormat="1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horizontal="left" wrapText="1"/>
    </xf>
    <xf numFmtId="0" fontId="29" fillId="0" borderId="2" xfId="0" applyFont="1" applyFill="1" applyBorder="1" applyAlignment="1">
      <alignment horizontal="center" vertical="center"/>
    </xf>
    <xf numFmtId="0" fontId="6" fillId="0" borderId="15" xfId="0" applyFont="1" applyFill="1" applyBorder="1"/>
    <xf numFmtId="164" fontId="133" fillId="0" borderId="15" xfId="0" applyNumberFormat="1" applyFont="1" applyFill="1" applyBorder="1" applyAlignment="1">
      <alignment horizontal="center" wrapText="1"/>
    </xf>
    <xf numFmtId="164" fontId="14" fillId="0" borderId="15" xfId="0" applyNumberFormat="1" applyFont="1" applyFill="1" applyBorder="1" applyAlignment="1">
      <alignment horizontal="center"/>
    </xf>
    <xf numFmtId="164" fontId="14" fillId="34" borderId="15" xfId="0" applyNumberFormat="1" applyFont="1" applyFill="1" applyBorder="1" applyAlignment="1">
      <alignment horizontal="left" vertical="top" wrapText="1"/>
    </xf>
    <xf numFmtId="164" fontId="133" fillId="34" borderId="15" xfId="0" applyNumberFormat="1" applyFont="1" applyFill="1" applyBorder="1" applyAlignment="1">
      <alignment horizontal="center" vertical="top" wrapText="1"/>
    </xf>
    <xf numFmtId="0" fontId="125" fillId="34" borderId="15" xfId="0" applyFont="1" applyFill="1" applyBorder="1" applyAlignment="1">
      <alignment horizontal="center" vertical="center"/>
    </xf>
    <xf numFmtId="0" fontId="133" fillId="0" borderId="15" xfId="0" applyFont="1" applyFill="1" applyBorder="1" applyAlignment="1">
      <alignment horizontal="left" vertical="center" wrapText="1"/>
    </xf>
    <xf numFmtId="2" fontId="125" fillId="0" borderId="15" xfId="0" applyNumberFormat="1" applyFont="1" applyFill="1" applyBorder="1" applyAlignment="1">
      <alignment horizontal="center" vertical="center" wrapText="1"/>
    </xf>
    <xf numFmtId="0" fontId="133" fillId="0" borderId="1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29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41" fillId="0" borderId="3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44" fillId="0" borderId="15" xfId="0" applyFont="1" applyFill="1" applyBorder="1" applyAlignment="1">
      <alignment horizontal="left" vertical="center"/>
    </xf>
    <xf numFmtId="2" fontId="142" fillId="0" borderId="15" xfId="198" applyNumberFormat="1" applyFont="1" applyFill="1" applyBorder="1" applyAlignment="1">
      <alignment horizontal="center"/>
    </xf>
    <xf numFmtId="0" fontId="12" fillId="37" borderId="15" xfId="0" applyFont="1" applyFill="1" applyBorder="1" applyAlignment="1">
      <alignment horizontal="center" vertical="center"/>
    </xf>
    <xf numFmtId="164" fontId="133" fillId="37" borderId="15" xfId="0" applyNumberFormat="1" applyFont="1" applyFill="1" applyBorder="1" applyAlignment="1">
      <alignment horizontal="center" vertical="center"/>
    </xf>
    <xf numFmtId="164" fontId="14" fillId="37" borderId="15" xfId="0" applyNumberFormat="1" applyFont="1" applyFill="1" applyBorder="1" applyAlignment="1">
      <alignment horizontal="center" vertical="center"/>
    </xf>
    <xf numFmtId="0" fontId="14" fillId="34" borderId="15" xfId="0" applyFont="1" applyFill="1" applyBorder="1" applyAlignment="1">
      <alignment vertical="top"/>
    </xf>
    <xf numFmtId="2" fontId="14" fillId="0" borderId="15" xfId="0" applyNumberFormat="1" applyFont="1" applyFill="1" applyBorder="1" applyAlignment="1">
      <alignment vertical="center" wrapText="1"/>
    </xf>
    <xf numFmtId="0" fontId="14" fillId="0" borderId="15" xfId="0" applyFont="1" applyFill="1" applyBorder="1" applyAlignment="1">
      <alignment horizontal="left" vertical="center"/>
    </xf>
    <xf numFmtId="0" fontId="12" fillId="0" borderId="15" xfId="0" applyFont="1" applyFill="1" applyBorder="1" applyAlignment="1">
      <alignment horizontal="left" vertical="center"/>
    </xf>
    <xf numFmtId="0" fontId="14" fillId="0" borderId="15" xfId="136" quotePrefix="1" applyNumberFormat="1" applyFont="1" applyFill="1" applyBorder="1" applyAlignment="1">
      <alignment horizontal="center" vertical="center"/>
    </xf>
    <xf numFmtId="0" fontId="14" fillId="0" borderId="15" xfId="136" applyNumberFormat="1" applyFont="1" applyFill="1" applyBorder="1" applyAlignment="1">
      <alignment horizontal="center" vertical="center"/>
    </xf>
    <xf numFmtId="2" fontId="51" fillId="0" borderId="15" xfId="0" applyNumberFormat="1" applyFont="1" applyFill="1" applyBorder="1" applyAlignment="1">
      <alignment horizontal="center" vertical="center"/>
    </xf>
    <xf numFmtId="0" fontId="14" fillId="0" borderId="15" xfId="0" applyFont="1" applyFill="1" applyBorder="1" applyAlignment="1">
      <alignment horizontal="right" vertical="center"/>
    </xf>
    <xf numFmtId="2" fontId="14" fillId="0" borderId="0" xfId="0" applyNumberFormat="1" applyFont="1" applyBorder="1" applyAlignment="1">
      <alignment horizontal="right"/>
    </xf>
    <xf numFmtId="0" fontId="41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/>
    </xf>
    <xf numFmtId="0" fontId="29" fillId="0" borderId="4" xfId="0" applyFont="1" applyFill="1" applyBorder="1" applyAlignment="1">
      <alignment wrapText="1"/>
    </xf>
    <xf numFmtId="1" fontId="12" fillId="38" borderId="0" xfId="0" applyNumberFormat="1" applyFont="1" applyFill="1" applyBorder="1" applyAlignment="1">
      <alignment horizontal="center" wrapText="1"/>
    </xf>
    <xf numFmtId="2" fontId="14" fillId="0" borderId="0" xfId="0" applyNumberFormat="1" applyFont="1" applyFill="1" applyBorder="1" applyAlignment="1">
      <alignment horizontal="right"/>
    </xf>
    <xf numFmtId="0" fontId="12" fillId="34" borderId="0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2" fontId="14" fillId="0" borderId="15" xfId="0" applyNumberFormat="1" applyFont="1" applyBorder="1" applyAlignment="1">
      <alignment horizontal="center"/>
    </xf>
    <xf numFmtId="0" fontId="14" fillId="0" borderId="15" xfId="0" applyFont="1" applyBorder="1"/>
    <xf numFmtId="0" fontId="14" fillId="0" borderId="15" xfId="0" applyFont="1" applyBorder="1" applyAlignment="1">
      <alignment horizontal="center"/>
    </xf>
    <xf numFmtId="2" fontId="125" fillId="0" borderId="15" xfId="0" applyNumberFormat="1" applyFont="1" applyFill="1" applyBorder="1" applyAlignment="1">
      <alignment horizontal="center" wrapText="1"/>
    </xf>
    <xf numFmtId="0" fontId="12" fillId="0" borderId="15" xfId="0" applyFont="1" applyFill="1" applyBorder="1" applyAlignment="1">
      <alignment vertical="center"/>
    </xf>
    <xf numFmtId="2" fontId="12" fillId="0" borderId="15" xfId="0" applyNumberFormat="1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right" vertical="center"/>
    </xf>
    <xf numFmtId="0" fontId="12" fillId="34" borderId="15" xfId="0" applyFont="1" applyFill="1" applyBorder="1" applyAlignment="1">
      <alignment horizontal="left" vertical="center" wrapText="1"/>
    </xf>
    <xf numFmtId="0" fontId="151" fillId="34" borderId="15" xfId="0" applyFont="1" applyFill="1" applyBorder="1" applyAlignment="1">
      <alignment horizontal="center" vertical="center" wrapText="1"/>
    </xf>
    <xf numFmtId="2" fontId="151" fillId="34" borderId="15" xfId="0" applyNumberFormat="1" applyFont="1" applyFill="1" applyBorder="1" applyAlignment="1">
      <alignment horizontal="center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37" fillId="0" borderId="0" xfId="0" applyFont="1" applyFill="1" applyBorder="1" applyAlignment="1">
      <alignment vertical="center"/>
    </xf>
    <xf numFmtId="37" fontId="34" fillId="34" borderId="15" xfId="0" applyNumberFormat="1" applyFont="1" applyFill="1" applyBorder="1" applyAlignment="1">
      <alignment wrapText="1"/>
    </xf>
    <xf numFmtId="0" fontId="44" fillId="34" borderId="15" xfId="0" applyFont="1" applyFill="1" applyBorder="1" applyAlignment="1">
      <alignment horizontal="left" wrapText="1"/>
    </xf>
    <xf numFmtId="0" fontId="13" fillId="34" borderId="0" xfId="0" applyFont="1" applyFill="1" applyBorder="1"/>
    <xf numFmtId="0" fontId="34" fillId="34" borderId="0" xfId="0" applyFont="1" applyFill="1" applyAlignment="1"/>
    <xf numFmtId="0" fontId="17" fillId="0" borderId="0" xfId="0" applyFont="1" applyFill="1" applyBorder="1" applyAlignment="1">
      <alignment vertical="center" wrapText="1"/>
    </xf>
    <xf numFmtId="0" fontId="12" fillId="34" borderId="15" xfId="0" applyFont="1" applyFill="1" applyBorder="1" applyAlignment="1">
      <alignment horizontal="center" wrapText="1"/>
    </xf>
    <xf numFmtId="2" fontId="12" fillId="34" borderId="15" xfId="0" applyNumberFormat="1" applyFont="1" applyFill="1" applyBorder="1" applyAlignment="1">
      <alignment horizontal="center" wrapText="1"/>
    </xf>
    <xf numFmtId="0" fontId="18" fillId="34" borderId="15" xfId="0" applyFont="1" applyFill="1" applyBorder="1" applyAlignment="1">
      <alignment horizontal="center" wrapText="1"/>
    </xf>
    <xf numFmtId="0" fontId="34" fillId="0" borderId="0" xfId="0" applyFont="1" applyFill="1" applyBorder="1" applyAlignment="1">
      <alignment horizontal="left"/>
    </xf>
    <xf numFmtId="0" fontId="13" fillId="34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center" vertical="center"/>
    </xf>
    <xf numFmtId="0" fontId="18" fillId="0" borderId="15" xfId="0" applyFont="1" applyFill="1" applyBorder="1" applyAlignment="1">
      <alignment wrapText="1"/>
    </xf>
    <xf numFmtId="0" fontId="26" fillId="0" borderId="15" xfId="0" applyFont="1" applyFill="1" applyBorder="1" applyAlignment="1">
      <alignment vertical="center"/>
    </xf>
    <xf numFmtId="21" fontId="12" fillId="0" borderId="15" xfId="0" applyNumberFormat="1" applyFont="1" applyFill="1" applyBorder="1" applyAlignment="1">
      <alignment horizontal="center" vertical="center" wrapText="1"/>
    </xf>
    <xf numFmtId="21" fontId="14" fillId="0" borderId="15" xfId="0" applyNumberFormat="1" applyFont="1" applyFill="1" applyBorder="1" applyAlignment="1">
      <alignment horizontal="center" vertical="center" wrapText="1"/>
    </xf>
    <xf numFmtId="0" fontId="41" fillId="34" borderId="15" xfId="0" applyFont="1" applyFill="1" applyBorder="1" applyAlignment="1">
      <alignment vertical="center"/>
    </xf>
    <xf numFmtId="37" fontId="13" fillId="34" borderId="15" xfId="0" applyNumberFormat="1" applyFont="1" applyFill="1" applyBorder="1" applyAlignment="1">
      <alignment wrapText="1"/>
    </xf>
    <xf numFmtId="46" fontId="14" fillId="34" borderId="15" xfId="0" applyNumberFormat="1" applyFont="1" applyFill="1" applyBorder="1" applyAlignment="1">
      <alignment horizontal="center"/>
    </xf>
    <xf numFmtId="0" fontId="14" fillId="34" borderId="15" xfId="0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wrapText="1"/>
    </xf>
    <xf numFmtId="0" fontId="75" fillId="2" borderId="19" xfId="0" applyFont="1" applyFill="1" applyBorder="1" applyAlignment="1">
      <alignment horizontal="center"/>
    </xf>
    <xf numFmtId="0" fontId="75" fillId="2" borderId="0" xfId="0" applyFont="1" applyFill="1" applyBorder="1" applyAlignment="1">
      <alignment horizontal="center"/>
    </xf>
    <xf numFmtId="0" fontId="75" fillId="2" borderId="20" xfId="0" applyFont="1" applyFill="1" applyBorder="1" applyAlignment="1">
      <alignment horizontal="center"/>
    </xf>
    <xf numFmtId="176" fontId="75" fillId="0" borderId="19" xfId="0" applyNumberFormat="1" applyFont="1" applyFill="1" applyBorder="1" applyAlignment="1">
      <alignment horizontal="center"/>
    </xf>
    <xf numFmtId="176" fontId="75" fillId="0" borderId="0" xfId="0" applyNumberFormat="1" applyFont="1" applyFill="1" applyBorder="1" applyAlignment="1">
      <alignment horizontal="center"/>
    </xf>
    <xf numFmtId="176" fontId="75" fillId="0" borderId="20" xfId="0" applyNumberFormat="1" applyFont="1" applyFill="1" applyBorder="1" applyAlignment="1">
      <alignment horizontal="center"/>
    </xf>
    <xf numFmtId="0" fontId="62" fillId="2" borderId="0" xfId="0" applyFont="1" applyFill="1" applyAlignment="1">
      <alignment horizontal="left"/>
    </xf>
    <xf numFmtId="0" fontId="20" fillId="2" borderId="0" xfId="0" applyFont="1" applyFill="1" applyAlignment="1">
      <alignment horizontal="left"/>
    </xf>
    <xf numFmtId="0" fontId="64" fillId="0" borderId="0" xfId="0" applyFont="1" applyBorder="1" applyAlignment="1">
      <alignment horizontal="left" vertical="center" wrapText="1"/>
    </xf>
    <xf numFmtId="0" fontId="64" fillId="0" borderId="0" xfId="0" applyFont="1" applyBorder="1" applyAlignment="1">
      <alignment horizontal="left" vertical="top" wrapText="1"/>
    </xf>
    <xf numFmtId="0" fontId="64" fillId="2" borderId="0" xfId="0" applyFont="1" applyFill="1" applyBorder="1" applyAlignment="1">
      <alignment horizontal="left"/>
    </xf>
    <xf numFmtId="0" fontId="64" fillId="0" borderId="0" xfId="0" applyFont="1" applyBorder="1" applyAlignment="1">
      <alignment horizontal="left" wrapText="1"/>
    </xf>
    <xf numFmtId="0" fontId="64" fillId="2" borderId="15" xfId="0" applyFont="1" applyFill="1" applyBorder="1" applyAlignment="1">
      <alignment horizontal="left" vertical="top"/>
    </xf>
    <xf numFmtId="0" fontId="66" fillId="0" borderId="0" xfId="0" applyFont="1" applyBorder="1" applyAlignment="1">
      <alignment horizontal="center"/>
    </xf>
    <xf numFmtId="0" fontId="65" fillId="0" borderId="0" xfId="0" applyFont="1" applyBorder="1" applyAlignment="1">
      <alignment horizontal="center"/>
    </xf>
    <xf numFmtId="0" fontId="153" fillId="0" borderId="0" xfId="0" applyFont="1" applyFill="1" applyBorder="1" applyAlignment="1">
      <alignment horizontal="right" vertical="center"/>
    </xf>
    <xf numFmtId="0" fontId="64" fillId="2" borderId="0" xfId="0" applyFont="1" applyFill="1" applyBorder="1" applyAlignment="1">
      <alignment horizontal="left" vertical="center" wrapText="1"/>
    </xf>
    <xf numFmtId="49" fontId="80" fillId="0" borderId="19" xfId="0" applyNumberFormat="1" applyFont="1" applyFill="1" applyBorder="1" applyAlignment="1">
      <alignment horizontal="center"/>
    </xf>
    <xf numFmtId="49" fontId="80" fillId="0" borderId="0" xfId="0" applyNumberFormat="1" applyFont="1" applyFill="1" applyBorder="1" applyAlignment="1">
      <alignment horizontal="center"/>
    </xf>
    <xf numFmtId="49" fontId="80" fillId="0" borderId="20" xfId="0" applyNumberFormat="1" applyFont="1" applyFill="1" applyBorder="1" applyAlignment="1">
      <alignment horizontal="center"/>
    </xf>
    <xf numFmtId="0" fontId="62" fillId="0" borderId="0" xfId="0" applyFont="1" applyBorder="1" applyAlignment="1">
      <alignment horizontal="left"/>
    </xf>
    <xf numFmtId="0" fontId="4" fillId="0" borderId="0" xfId="0" applyFont="1"/>
    <xf numFmtId="0" fontId="4" fillId="0" borderId="20" xfId="0" applyFont="1" applyBorder="1"/>
    <xf numFmtId="0" fontId="154" fillId="0" borderId="0" xfId="0" applyFont="1" applyFill="1" applyBorder="1" applyAlignment="1">
      <alignment horizontal="left" vertical="center"/>
    </xf>
    <xf numFmtId="0" fontId="153" fillId="0" borderId="0" xfId="0" applyFont="1" applyFill="1" applyBorder="1" applyAlignment="1">
      <alignment horizontal="center"/>
    </xf>
    <xf numFmtId="0" fontId="75" fillId="0" borderId="19" xfId="0" applyFont="1" applyFill="1" applyBorder="1" applyAlignment="1">
      <alignment horizontal="center"/>
    </xf>
    <xf numFmtId="0" fontId="75" fillId="0" borderId="0" xfId="0" applyFont="1" applyFill="1" applyBorder="1" applyAlignment="1">
      <alignment horizontal="center"/>
    </xf>
    <xf numFmtId="0" fontId="75" fillId="0" borderId="20" xfId="0" applyFont="1" applyFill="1" applyBorder="1" applyAlignment="1">
      <alignment horizontal="center"/>
    </xf>
    <xf numFmtId="0" fontId="62" fillId="0" borderId="16" xfId="0" applyFont="1" applyBorder="1" applyAlignment="1">
      <alignment horizontal="center" vertical="top" wrapText="1"/>
    </xf>
    <xf numFmtId="0" fontId="62" fillId="0" borderId="17" xfId="0" applyFont="1" applyBorder="1" applyAlignment="1">
      <alignment horizontal="center" vertical="top" wrapText="1"/>
    </xf>
    <xf numFmtId="0" fontId="62" fillId="0" borderId="18" xfId="0" applyFont="1" applyBorder="1" applyAlignment="1">
      <alignment horizontal="center" vertical="top" wrapText="1"/>
    </xf>
    <xf numFmtId="0" fontId="62" fillId="0" borderId="19" xfId="0" applyFont="1" applyBorder="1" applyAlignment="1">
      <alignment horizontal="center" vertical="top" wrapText="1"/>
    </xf>
    <xf numFmtId="0" fontId="62" fillId="0" borderId="0" xfId="0" applyFont="1" applyBorder="1" applyAlignment="1">
      <alignment horizontal="center" vertical="top" wrapText="1"/>
    </xf>
    <xf numFmtId="0" fontId="62" fillId="0" borderId="20" xfId="0" applyFont="1" applyBorder="1" applyAlignment="1">
      <alignment horizontal="center" vertical="top" wrapText="1"/>
    </xf>
    <xf numFmtId="0" fontId="2" fillId="0" borderId="0" xfId="173" applyAlignment="1" applyProtection="1">
      <alignment horizontal="left"/>
    </xf>
    <xf numFmtId="0" fontId="33" fillId="0" borderId="0" xfId="0" applyFont="1" applyAlignment="1">
      <alignment horizontal="left"/>
    </xf>
    <xf numFmtId="0" fontId="75" fillId="0" borderId="0" xfId="0" applyFont="1" applyAlignment="1">
      <alignment horizontal="center" vertical="center"/>
    </xf>
    <xf numFmtId="0" fontId="29" fillId="0" borderId="0" xfId="0" applyFont="1" applyBorder="1" applyAlignment="1">
      <alignment horizontal="center" wrapText="1"/>
    </xf>
    <xf numFmtId="0" fontId="37" fillId="0" borderId="7" xfId="0" applyFont="1" applyFill="1" applyBorder="1" applyAlignment="1">
      <alignment horizontal="center" vertical="center" wrapText="1"/>
    </xf>
    <xf numFmtId="0" fontId="37" fillId="0" borderId="14" xfId="0" applyFont="1" applyFill="1" applyBorder="1" applyAlignment="1">
      <alignment horizontal="center" vertical="center" wrapText="1"/>
    </xf>
    <xf numFmtId="0" fontId="37" fillId="0" borderId="8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wrapText="1"/>
    </xf>
    <xf numFmtId="0" fontId="20" fillId="0" borderId="0" xfId="0" applyFont="1" applyAlignment="1">
      <alignment horizontal="left" wrapText="1"/>
    </xf>
    <xf numFmtId="0" fontId="20" fillId="0" borderId="0" xfId="0" applyNumberFormat="1" applyFont="1" applyBorder="1" applyAlignment="1">
      <alignment horizontal="right" wrapText="1"/>
    </xf>
    <xf numFmtId="0" fontId="29" fillId="0" borderId="0" xfId="0" applyFont="1" applyAlignment="1">
      <alignment horizontal="left" wrapText="1"/>
    </xf>
    <xf numFmtId="0" fontId="41" fillId="0" borderId="3" xfId="0" applyFont="1" applyFill="1" applyBorder="1" applyAlignment="1">
      <alignment horizontal="center" vertical="center" wrapText="1"/>
    </xf>
    <xf numFmtId="0" fontId="41" fillId="0" borderId="2" xfId="0" applyFont="1" applyFill="1" applyBorder="1" applyAlignment="1">
      <alignment horizontal="center" vertical="center" wrapText="1"/>
    </xf>
    <xf numFmtId="0" fontId="29" fillId="0" borderId="10" xfId="0" applyFont="1" applyFill="1" applyBorder="1" applyAlignment="1">
      <alignment horizontal="center" vertical="center" wrapText="1"/>
    </xf>
    <xf numFmtId="0" fontId="29" fillId="0" borderId="3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49" fontId="94" fillId="0" borderId="0" xfId="0" applyNumberFormat="1" applyFont="1" applyBorder="1" applyAlignment="1">
      <alignment horizontal="left" wrapText="1"/>
    </xf>
    <xf numFmtId="0" fontId="29" fillId="0" borderId="0" xfId="0" applyFont="1" applyBorder="1" applyAlignment="1">
      <alignment horizontal="right" wrapText="1"/>
    </xf>
    <xf numFmtId="0" fontId="27" fillId="0" borderId="1" xfId="0" applyFont="1" applyBorder="1" applyAlignment="1">
      <alignment horizontal="center" wrapText="1"/>
    </xf>
    <xf numFmtId="0" fontId="27" fillId="0" borderId="0" xfId="0" applyFont="1" applyBorder="1" applyAlignment="1">
      <alignment horizontal="center" wrapText="1"/>
    </xf>
    <xf numFmtId="0" fontId="41" fillId="0" borderId="10" xfId="0" applyFont="1" applyFill="1" applyBorder="1" applyAlignment="1">
      <alignment horizontal="center" vertical="center" wrapText="1"/>
    </xf>
    <xf numFmtId="0" fontId="94" fillId="0" borderId="0" xfId="0" applyFont="1" applyAlignment="1">
      <alignment horizontal="left" wrapText="1"/>
    </xf>
    <xf numFmtId="0" fontId="94" fillId="0" borderId="0" xfId="0" applyFont="1" applyBorder="1" applyAlignment="1">
      <alignment horizontal="left" vertical="justify" wrapText="1"/>
    </xf>
    <xf numFmtId="0" fontId="94" fillId="0" borderId="0" xfId="0" applyFont="1" applyBorder="1" applyAlignment="1">
      <alignment horizontal="left" wrapText="1"/>
    </xf>
    <xf numFmtId="0" fontId="94" fillId="0" borderId="0" xfId="0" applyFont="1" applyBorder="1" applyAlignment="1">
      <alignment horizontal="left"/>
    </xf>
    <xf numFmtId="0" fontId="7" fillId="0" borderId="14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right" vertical="center"/>
    </xf>
    <xf numFmtId="0" fontId="7" fillId="0" borderId="14" xfId="0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right" vertical="center"/>
    </xf>
    <xf numFmtId="0" fontId="7" fillId="0" borderId="23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29" fillId="0" borderId="10" xfId="0" applyNumberFormat="1" applyFont="1" applyFill="1" applyBorder="1" applyAlignment="1">
      <alignment horizontal="center" vertical="center" wrapText="1"/>
    </xf>
    <xf numFmtId="0" fontId="29" fillId="0" borderId="3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29" fillId="0" borderId="1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right" wrapText="1"/>
    </xf>
    <xf numFmtId="0" fontId="6" fillId="0" borderId="2" xfId="0" applyFont="1" applyBorder="1" applyAlignment="1">
      <alignment horizontal="center" vertical="center" wrapText="1"/>
    </xf>
    <xf numFmtId="0" fontId="29" fillId="0" borderId="29" xfId="0" applyFont="1" applyFill="1" applyBorder="1" applyAlignment="1">
      <alignment horizontal="center" vertical="center" wrapText="1"/>
    </xf>
    <xf numFmtId="0" fontId="0" fillId="0" borderId="29" xfId="0" applyFill="1" applyBorder="1"/>
    <xf numFmtId="0" fontId="0" fillId="0" borderId="3" xfId="0" applyFill="1" applyBorder="1"/>
    <xf numFmtId="0" fontId="6" fillId="0" borderId="11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0" fillId="0" borderId="0" xfId="0" applyFont="1" applyAlignment="1">
      <alignment horizontal="right"/>
    </xf>
    <xf numFmtId="0" fontId="29" fillId="0" borderId="0" xfId="0" applyFont="1" applyAlignment="1">
      <alignment horizontal="right" wrapText="1"/>
    </xf>
    <xf numFmtId="0" fontId="20" fillId="0" borderId="0" xfId="0" applyFont="1" applyAlignment="1">
      <alignment horizontal="right" wrapText="1"/>
    </xf>
    <xf numFmtId="0" fontId="29" fillId="0" borderId="1" xfId="0" applyFont="1" applyBorder="1" applyAlignment="1">
      <alignment horizontal="center" wrapText="1"/>
    </xf>
    <xf numFmtId="0" fontId="29" fillId="0" borderId="2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 wrapText="1"/>
    </xf>
    <xf numFmtId="0" fontId="94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27" fillId="0" borderId="1" xfId="0" applyFont="1" applyBorder="1" applyAlignment="1">
      <alignment horizontal="left" wrapText="1"/>
    </xf>
    <xf numFmtId="0" fontId="6" fillId="0" borderId="10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7" fillId="0" borderId="23" xfId="0" applyFont="1" applyFill="1" applyBorder="1" applyAlignment="1">
      <alignment horizontal="center" vertical="center" wrapText="1"/>
    </xf>
    <xf numFmtId="0" fontId="27" fillId="0" borderId="25" xfId="0" applyFont="1" applyFill="1" applyBorder="1" applyAlignment="1">
      <alignment horizontal="center" vertical="center" wrapText="1"/>
    </xf>
    <xf numFmtId="0" fontId="27" fillId="0" borderId="9" xfId="0" applyFont="1" applyFill="1" applyBorder="1" applyAlignment="1">
      <alignment horizontal="center" vertical="center" wrapText="1"/>
    </xf>
    <xf numFmtId="0" fontId="27" fillId="0" borderId="1" xfId="0" applyFont="1" applyFill="1" applyBorder="1" applyAlignment="1">
      <alignment horizontal="center" vertical="center" wrapText="1"/>
    </xf>
    <xf numFmtId="0" fontId="27" fillId="0" borderId="1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20" fillId="0" borderId="0" xfId="0" applyFont="1" applyBorder="1" applyAlignment="1">
      <alignment horizontal="right"/>
    </xf>
    <xf numFmtId="0" fontId="6" fillId="0" borderId="0" xfId="0" applyFont="1" applyBorder="1" applyAlignment="1">
      <alignment horizontal="right" wrapText="1"/>
    </xf>
    <xf numFmtId="0" fontId="27" fillId="0" borderId="7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7" fillId="0" borderId="8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center"/>
    </xf>
    <xf numFmtId="0" fontId="27" fillId="0" borderId="25" xfId="0" applyFont="1" applyFill="1" applyBorder="1" applyAlignment="1">
      <alignment horizontal="center" vertical="center"/>
    </xf>
    <xf numFmtId="0" fontId="29" fillId="0" borderId="11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/>
    </xf>
    <xf numFmtId="0" fontId="29" fillId="0" borderId="10" xfId="0" applyFont="1" applyBorder="1" applyAlignment="1">
      <alignment horizontal="center" vertical="center" wrapText="1"/>
    </xf>
    <xf numFmtId="0" fontId="29" fillId="0" borderId="29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27" fillId="0" borderId="7" xfId="0" applyFont="1" applyFill="1" applyBorder="1" applyAlignment="1">
      <alignment horizontal="center" vertical="center" wrapText="1"/>
    </xf>
    <xf numFmtId="0" fontId="27" fillId="0" borderId="14" xfId="0" applyFont="1" applyFill="1" applyBorder="1" applyAlignment="1">
      <alignment horizontal="center" vertical="center" wrapText="1"/>
    </xf>
    <xf numFmtId="0" fontId="27" fillId="0" borderId="8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0" fontId="34" fillId="0" borderId="0" xfId="0" applyFont="1" applyBorder="1" applyAlignment="1">
      <alignment horizontal="left" wrapText="1"/>
    </xf>
    <xf numFmtId="0" fontId="155" fillId="0" borderId="0" xfId="0" applyFont="1" applyAlignment="1">
      <alignment horizontal="left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49" fontId="34" fillId="0" borderId="0" xfId="0" applyNumberFormat="1" applyFont="1" applyAlignment="1">
      <alignment horizontal="left" vertical="center"/>
    </xf>
    <xf numFmtId="0" fontId="34" fillId="0" borderId="0" xfId="0" applyFont="1" applyBorder="1" applyAlignment="1">
      <alignment horizontal="left" vertical="center" wrapText="1"/>
    </xf>
    <xf numFmtId="0" fontId="29" fillId="0" borderId="11" xfId="0" applyFont="1" applyBorder="1" applyAlignment="1">
      <alignment horizontal="center" vertical="center" wrapText="1"/>
    </xf>
    <xf numFmtId="0" fontId="29" fillId="0" borderId="25" xfId="0" applyFont="1" applyBorder="1" applyAlignment="1">
      <alignment horizontal="center" vertical="center" wrapText="1"/>
    </xf>
    <xf numFmtId="0" fontId="29" fillId="0" borderId="24" xfId="0" applyFont="1" applyBorder="1" applyAlignment="1">
      <alignment horizontal="center" vertical="center" wrapText="1"/>
    </xf>
    <xf numFmtId="0" fontId="29" fillId="0" borderId="26" xfId="0" applyFont="1" applyBorder="1" applyAlignment="1">
      <alignment horizontal="center" vertical="center" wrapText="1"/>
    </xf>
    <xf numFmtId="0" fontId="29" fillId="0" borderId="9" xfId="0" applyFont="1" applyBorder="1" applyAlignment="1">
      <alignment horizontal="center" vertical="center" wrapText="1"/>
    </xf>
    <xf numFmtId="0" fontId="29" fillId="0" borderId="12" xfId="0" applyFont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29" fillId="0" borderId="33" xfId="0" applyFont="1" applyFill="1" applyBorder="1" applyAlignment="1">
      <alignment horizontal="center" wrapText="1"/>
    </xf>
    <xf numFmtId="0" fontId="29" fillId="0" borderId="27" xfId="0" applyFont="1" applyFill="1" applyBorder="1" applyAlignment="1">
      <alignment horizontal="center" wrapText="1"/>
    </xf>
    <xf numFmtId="0" fontId="13" fillId="0" borderId="0" xfId="0" applyFont="1" applyBorder="1" applyAlignment="1">
      <alignment horizontal="left" vertical="justify" wrapText="1"/>
    </xf>
    <xf numFmtId="0" fontId="13" fillId="0" borderId="0" xfId="0" applyFont="1" applyBorder="1" applyAlignment="1">
      <alignment horizontal="left" wrapText="1"/>
    </xf>
    <xf numFmtId="0" fontId="27" fillId="0" borderId="33" xfId="0" applyFont="1" applyFill="1" applyBorder="1" applyAlignment="1">
      <alignment horizontal="center" vertical="center" wrapText="1"/>
    </xf>
    <xf numFmtId="0" fontId="27" fillId="0" borderId="27" xfId="0" applyFont="1" applyFill="1" applyBorder="1" applyAlignment="1">
      <alignment horizontal="center" vertical="center" wrapText="1"/>
    </xf>
    <xf numFmtId="0" fontId="29" fillId="0" borderId="33" xfId="0" applyFont="1" applyFill="1" applyBorder="1" applyAlignment="1">
      <alignment horizontal="center" vertical="center" wrapText="1"/>
    </xf>
    <xf numFmtId="0" fontId="29" fillId="0" borderId="27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27" fillId="0" borderId="34" xfId="0" applyFont="1" applyFill="1" applyBorder="1" applyAlignment="1">
      <alignment horizontal="center" vertical="center" wrapText="1"/>
    </xf>
    <xf numFmtId="0" fontId="6" fillId="0" borderId="35" xfId="0" applyFont="1" applyFill="1" applyBorder="1"/>
    <xf numFmtId="0" fontId="6" fillId="0" borderId="4" xfId="0" applyFont="1" applyFill="1" applyBorder="1"/>
    <xf numFmtId="0" fontId="29" fillId="0" borderId="31" xfId="0" applyFont="1" applyFill="1" applyBorder="1" applyAlignment="1">
      <alignment horizontal="center" vertical="center" wrapText="1"/>
    </xf>
    <xf numFmtId="0" fontId="29" fillId="0" borderId="32" xfId="0" applyFont="1" applyFill="1" applyBorder="1" applyAlignment="1">
      <alignment horizontal="center" vertical="center" wrapText="1"/>
    </xf>
    <xf numFmtId="0" fontId="27" fillId="0" borderId="35" xfId="0" applyFont="1" applyFill="1" applyBorder="1" applyAlignment="1">
      <alignment horizontal="center" wrapText="1"/>
    </xf>
    <xf numFmtId="0" fontId="27" fillId="0" borderId="4" xfId="0" applyFont="1" applyFill="1" applyBorder="1" applyAlignment="1">
      <alignment horizontal="center" wrapText="1"/>
    </xf>
    <xf numFmtId="0" fontId="29" fillId="0" borderId="36" xfId="0" applyFont="1" applyFill="1" applyBorder="1" applyAlignment="1">
      <alignment horizontal="center" vertical="center" wrapText="1"/>
    </xf>
    <xf numFmtId="0" fontId="29" fillId="0" borderId="37" xfId="0" applyFont="1" applyFill="1" applyBorder="1" applyAlignment="1">
      <alignment horizontal="center" vertical="center" wrapText="1"/>
    </xf>
    <xf numFmtId="0" fontId="29" fillId="0" borderId="38" xfId="0" applyFont="1" applyFill="1" applyBorder="1" applyAlignment="1">
      <alignment horizontal="center" vertical="center" wrapText="1"/>
    </xf>
    <xf numFmtId="0" fontId="29" fillId="0" borderId="39" xfId="0" applyFont="1" applyFill="1" applyBorder="1" applyAlignment="1">
      <alignment horizontal="center" vertical="center" wrapText="1"/>
    </xf>
    <xf numFmtId="0" fontId="29" fillId="0" borderId="40" xfId="0" applyFont="1" applyFill="1" applyBorder="1" applyAlignment="1">
      <alignment horizontal="center" vertical="center" wrapText="1"/>
    </xf>
    <xf numFmtId="0" fontId="29" fillId="0" borderId="41" xfId="0" applyFont="1" applyFill="1" applyBorder="1" applyAlignment="1">
      <alignment horizontal="center" vertical="center" wrapText="1"/>
    </xf>
    <xf numFmtId="0" fontId="27" fillId="0" borderId="34" xfId="0" applyFont="1" applyFill="1" applyBorder="1" applyAlignment="1">
      <alignment horizontal="center" wrapText="1"/>
    </xf>
    <xf numFmtId="0" fontId="29" fillId="0" borderId="34" xfId="0" applyFont="1" applyFill="1" applyBorder="1" applyAlignment="1">
      <alignment horizontal="center" vertical="center" wrapText="1"/>
    </xf>
    <xf numFmtId="0" fontId="29" fillId="0" borderId="35" xfId="0" applyFont="1" applyFill="1" applyBorder="1" applyAlignment="1">
      <alignment horizontal="center" vertical="center" wrapText="1"/>
    </xf>
    <xf numFmtId="0" fontId="29" fillId="0" borderId="4" xfId="0" applyFont="1" applyFill="1" applyBorder="1" applyAlignment="1">
      <alignment horizontal="center" vertical="center" wrapText="1"/>
    </xf>
    <xf numFmtId="0" fontId="29" fillId="0" borderId="30" xfId="0" applyFont="1" applyBorder="1" applyAlignment="1">
      <alignment horizontal="right" wrapText="1"/>
    </xf>
    <xf numFmtId="0" fontId="29" fillId="0" borderId="30" xfId="0" applyFont="1" applyBorder="1" applyAlignment="1"/>
    <xf numFmtId="0" fontId="20" fillId="0" borderId="0" xfId="0" applyFont="1" applyBorder="1" applyAlignment="1">
      <alignment horizontal="left"/>
    </xf>
    <xf numFmtId="0" fontId="20" fillId="0" borderId="0" xfId="0" applyFont="1" applyFill="1" applyAlignment="1">
      <alignment horizontal="right"/>
    </xf>
    <xf numFmtId="0" fontId="29" fillId="0" borderId="7" xfId="0" applyFont="1" applyFill="1" applyBorder="1" applyAlignment="1">
      <alignment horizontal="center" vertical="center"/>
    </xf>
    <xf numFmtId="0" fontId="29" fillId="0" borderId="14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20" fillId="0" borderId="0" xfId="0" applyFont="1" applyFill="1" applyAlignment="1">
      <alignment horizontal="left"/>
    </xf>
    <xf numFmtId="0" fontId="29" fillId="0" borderId="0" xfId="0" applyFont="1" applyFill="1" applyAlignment="1">
      <alignment horizontal="right"/>
    </xf>
    <xf numFmtId="0" fontId="6" fillId="0" borderId="11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/>
    </xf>
    <xf numFmtId="0" fontId="13" fillId="0" borderId="0" xfId="0" applyFont="1" applyFill="1" applyBorder="1" applyAlignment="1">
      <alignment horizontal="left" wrapText="1"/>
    </xf>
    <xf numFmtId="0" fontId="0" fillId="0" borderId="3" xfId="0" applyFill="1" applyBorder="1" applyAlignment="1">
      <alignment horizontal="center" vertical="center" wrapText="1"/>
    </xf>
    <xf numFmtId="0" fontId="0" fillId="0" borderId="29" xfId="0" applyFill="1" applyBorder="1" applyAlignment="1">
      <alignment horizontal="center" vertical="center" wrapText="1"/>
    </xf>
    <xf numFmtId="0" fontId="29" fillId="0" borderId="0" xfId="0" applyFont="1" applyBorder="1" applyAlignment="1"/>
    <xf numFmtId="0" fontId="14" fillId="0" borderId="29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center"/>
    </xf>
    <xf numFmtId="0" fontId="20" fillId="0" borderId="0" xfId="0" applyFont="1" applyFill="1" applyBorder="1" applyAlignment="1">
      <alignment horizontal="right"/>
    </xf>
    <xf numFmtId="0" fontId="29" fillId="0" borderId="1" xfId="0" applyFont="1" applyFill="1" applyBorder="1" applyAlignment="1">
      <alignment horizontal="right"/>
    </xf>
    <xf numFmtId="0" fontId="30" fillId="0" borderId="0" xfId="0" applyFont="1" applyFill="1" applyAlignment="1">
      <alignment horizontal="right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right" vertical="center" wrapText="1"/>
    </xf>
    <xf numFmtId="0" fontId="30" fillId="0" borderId="0" xfId="0" applyFont="1" applyFill="1" applyAlignment="1">
      <alignment horizontal="left" vertical="center" wrapText="1"/>
    </xf>
    <xf numFmtId="0" fontId="15" fillId="0" borderId="7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right" vertical="top" wrapText="1"/>
    </xf>
    <xf numFmtId="0" fontId="15" fillId="0" borderId="2" xfId="0" applyFont="1" applyFill="1" applyBorder="1" applyAlignment="1">
      <alignment horizontal="center" vertical="center" wrapText="1"/>
    </xf>
    <xf numFmtId="0" fontId="28" fillId="0" borderId="14" xfId="0" applyFont="1" applyFill="1" applyBorder="1" applyAlignment="1">
      <alignment horizontal="center" vertical="center" wrapText="1"/>
    </xf>
    <xf numFmtId="164" fontId="13" fillId="0" borderId="0" xfId="0" applyNumberFormat="1" applyFont="1" applyFill="1" applyBorder="1" applyAlignment="1">
      <alignment horizontal="left"/>
    </xf>
    <xf numFmtId="0" fontId="15" fillId="0" borderId="10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 vertical="justify"/>
    </xf>
    <xf numFmtId="0" fontId="15" fillId="0" borderId="29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top" wrapText="1"/>
    </xf>
    <xf numFmtId="0" fontId="15" fillId="0" borderId="11" xfId="0" applyFont="1" applyFill="1" applyBorder="1" applyAlignment="1">
      <alignment horizontal="center" vertical="center" wrapText="1"/>
    </xf>
    <xf numFmtId="0" fontId="15" fillId="0" borderId="25" xfId="0" applyFont="1" applyFill="1" applyBorder="1" applyAlignment="1">
      <alignment horizontal="center" vertical="center" wrapText="1"/>
    </xf>
    <xf numFmtId="0" fontId="15" fillId="0" borderId="24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/>
    </xf>
    <xf numFmtId="0" fontId="15" fillId="0" borderId="14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28" fillId="0" borderId="7" xfId="0" applyFont="1" applyFill="1" applyBorder="1" applyAlignment="1">
      <alignment horizontal="center" vertical="center" wrapText="1"/>
    </xf>
    <xf numFmtId="0" fontId="136" fillId="0" borderId="0" xfId="0" applyFont="1" applyFill="1" applyBorder="1" applyAlignment="1">
      <alignment horizontal="right" vertical="center"/>
    </xf>
    <xf numFmtId="0" fontId="136" fillId="0" borderId="0" xfId="0" applyFont="1" applyFill="1" applyBorder="1" applyAlignment="1">
      <alignment horizontal="center" vertical="center" wrapText="1"/>
    </xf>
    <xf numFmtId="49" fontId="125" fillId="0" borderId="2" xfId="0" applyNumberFormat="1" applyFont="1" applyFill="1" applyBorder="1" applyAlignment="1">
      <alignment horizontal="center" vertical="center" wrapText="1"/>
    </xf>
    <xf numFmtId="49" fontId="139" fillId="0" borderId="2" xfId="0" applyNumberFormat="1" applyFont="1" applyFill="1" applyBorder="1" applyAlignment="1">
      <alignment horizontal="center" vertical="center" wrapText="1"/>
    </xf>
    <xf numFmtId="49" fontId="138" fillId="0" borderId="2" xfId="0" applyNumberFormat="1" applyFont="1" applyFill="1" applyBorder="1" applyAlignment="1">
      <alignment horizontal="center" vertical="center" wrapText="1"/>
    </xf>
    <xf numFmtId="49" fontId="157" fillId="0" borderId="2" xfId="0" applyNumberFormat="1" applyFont="1" applyFill="1" applyBorder="1" applyAlignment="1">
      <alignment horizontal="center" vertical="center" wrapText="1"/>
    </xf>
    <xf numFmtId="1" fontId="139" fillId="0" borderId="2" xfId="0" applyNumberFormat="1" applyFont="1" applyFill="1" applyBorder="1" applyAlignment="1">
      <alignment horizontal="center" vertical="center" wrapText="1"/>
    </xf>
    <xf numFmtId="0" fontId="139" fillId="0" borderId="11" xfId="0" applyFont="1" applyFill="1" applyBorder="1" applyAlignment="1">
      <alignment horizontal="center" vertical="center" wrapText="1"/>
    </xf>
    <xf numFmtId="0" fontId="139" fillId="0" borderId="25" xfId="0" applyFont="1" applyFill="1" applyBorder="1" applyAlignment="1">
      <alignment horizontal="center" vertical="center" wrapText="1"/>
    </xf>
    <xf numFmtId="0" fontId="139" fillId="0" borderId="24" xfId="0" applyFont="1" applyFill="1" applyBorder="1" applyAlignment="1">
      <alignment horizontal="center" vertical="center" wrapText="1"/>
    </xf>
    <xf numFmtId="0" fontId="139" fillId="0" borderId="26" xfId="0" applyFont="1" applyFill="1" applyBorder="1" applyAlignment="1">
      <alignment horizontal="center" vertical="center" wrapText="1"/>
    </xf>
    <xf numFmtId="0" fontId="139" fillId="0" borderId="9" xfId="0" applyFont="1" applyFill="1" applyBorder="1" applyAlignment="1">
      <alignment horizontal="center" vertical="center" wrapText="1"/>
    </xf>
    <xf numFmtId="0" fontId="139" fillId="0" borderId="12" xfId="0" applyFont="1" applyFill="1" applyBorder="1" applyAlignment="1">
      <alignment horizontal="center" vertical="center" wrapText="1"/>
    </xf>
    <xf numFmtId="1" fontId="143" fillId="0" borderId="2" xfId="0" applyNumberFormat="1" applyFont="1" applyFill="1" applyBorder="1" applyAlignment="1">
      <alignment horizontal="center" vertical="center"/>
    </xf>
    <xf numFmtId="49" fontId="147" fillId="0" borderId="2" xfId="0" applyNumberFormat="1" applyFont="1" applyFill="1" applyBorder="1" applyAlignment="1">
      <alignment horizontal="center" vertical="center" wrapText="1"/>
    </xf>
    <xf numFmtId="0" fontId="137" fillId="0" borderId="11" xfId="0" applyFont="1" applyFill="1" applyBorder="1" applyAlignment="1">
      <alignment horizontal="left" vertical="center"/>
    </xf>
    <xf numFmtId="0" fontId="137" fillId="0" borderId="23" xfId="0" applyFont="1" applyFill="1" applyBorder="1" applyAlignment="1">
      <alignment horizontal="left" vertical="center"/>
    </xf>
    <xf numFmtId="0" fontId="137" fillId="0" borderId="25" xfId="0" applyFont="1" applyFill="1" applyBorder="1" applyAlignment="1">
      <alignment horizontal="left" vertical="center"/>
    </xf>
    <xf numFmtId="0" fontId="137" fillId="0" borderId="9" xfId="0" applyFont="1" applyFill="1" applyBorder="1" applyAlignment="1">
      <alignment horizontal="left" vertical="center"/>
    </xf>
    <xf numFmtId="0" fontId="137" fillId="0" borderId="1" xfId="0" applyFont="1" applyFill="1" applyBorder="1" applyAlignment="1">
      <alignment horizontal="left" vertical="center"/>
    </xf>
    <xf numFmtId="0" fontId="137" fillId="0" borderId="12" xfId="0" applyFont="1" applyFill="1" applyBorder="1" applyAlignment="1">
      <alignment horizontal="left" vertical="center"/>
    </xf>
    <xf numFmtId="0" fontId="137" fillId="0" borderId="2" xfId="0" applyFont="1" applyFill="1" applyBorder="1" applyAlignment="1">
      <alignment horizontal="center" vertical="center"/>
    </xf>
    <xf numFmtId="49" fontId="156" fillId="0" borderId="2" xfId="0" applyNumberFormat="1" applyFont="1" applyFill="1" applyBorder="1" applyAlignment="1">
      <alignment horizontal="center" vertical="center" wrapText="1"/>
    </xf>
    <xf numFmtId="0" fontId="22" fillId="35" borderId="14" xfId="0" applyFont="1" applyFill="1" applyBorder="1" applyAlignment="1">
      <alignment horizontal="left" vertical="center"/>
    </xf>
    <xf numFmtId="0" fontId="79" fillId="0" borderId="23" xfId="0" applyFont="1" applyBorder="1" applyAlignment="1">
      <alignment horizontal="left"/>
    </xf>
    <xf numFmtId="49" fontId="125" fillId="0" borderId="10" xfId="0" applyNumberFormat="1" applyFont="1" applyFill="1" applyBorder="1" applyAlignment="1">
      <alignment horizontal="center" vertical="center" wrapText="1"/>
    </xf>
    <xf numFmtId="49" fontId="125" fillId="0" borderId="3" xfId="0" applyNumberFormat="1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textRotation="90"/>
    </xf>
    <xf numFmtId="0" fontId="14" fillId="0" borderId="29" xfId="0" applyFont="1" applyFill="1" applyBorder="1" applyAlignment="1">
      <alignment horizontal="center" vertical="center" textRotation="90"/>
    </xf>
    <xf numFmtId="0" fontId="14" fillId="0" borderId="3" xfId="0" applyFont="1" applyFill="1" applyBorder="1" applyAlignment="1">
      <alignment horizontal="center" vertical="center" textRotation="90"/>
    </xf>
    <xf numFmtId="49" fontId="135" fillId="0" borderId="2" xfId="0" applyNumberFormat="1" applyFont="1" applyFill="1" applyBorder="1" applyAlignment="1">
      <alignment horizontal="center" vertical="center" wrapText="1"/>
    </xf>
    <xf numFmtId="1" fontId="143" fillId="0" borderId="7" xfId="0" applyNumberFormat="1" applyFont="1" applyFill="1" applyBorder="1" applyAlignment="1">
      <alignment horizontal="center" vertical="center" wrapText="1"/>
    </xf>
    <xf numFmtId="1" fontId="143" fillId="0" borderId="8" xfId="0" applyNumberFormat="1" applyFont="1" applyFill="1" applyBorder="1" applyAlignment="1">
      <alignment horizontal="center" vertical="center" wrapText="1"/>
    </xf>
    <xf numFmtId="1" fontId="143" fillId="0" borderId="7" xfId="0" applyNumberFormat="1" applyFont="1" applyFill="1" applyBorder="1" applyAlignment="1">
      <alignment horizontal="center" vertical="center"/>
    </xf>
    <xf numFmtId="1" fontId="143" fillId="0" borderId="8" xfId="0" applyNumberFormat="1" applyFont="1" applyFill="1" applyBorder="1" applyAlignment="1">
      <alignment horizontal="center" vertical="center"/>
    </xf>
    <xf numFmtId="0" fontId="146" fillId="0" borderId="2" xfId="0" applyFont="1" applyFill="1" applyBorder="1" applyAlignment="1">
      <alignment horizontal="center" vertical="center" wrapText="1"/>
    </xf>
    <xf numFmtId="0" fontId="137" fillId="0" borderId="7" xfId="0" applyFont="1" applyFill="1" applyBorder="1" applyAlignment="1">
      <alignment vertical="center"/>
    </xf>
    <xf numFmtId="0" fontId="137" fillId="0" borderId="14" xfId="0" applyFont="1" applyFill="1" applyBorder="1" applyAlignment="1">
      <alignment vertical="center"/>
    </xf>
    <xf numFmtId="0" fontId="137" fillId="0" borderId="8" xfId="0" applyFont="1" applyFill="1" applyBorder="1" applyAlignment="1">
      <alignment vertical="center"/>
    </xf>
    <xf numFmtId="49" fontId="138" fillId="0" borderId="7" xfId="0" applyNumberFormat="1" applyFont="1" applyFill="1" applyBorder="1" applyAlignment="1">
      <alignment horizontal="left" vertical="center" wrapText="1"/>
    </xf>
    <xf numFmtId="49" fontId="138" fillId="0" borderId="14" xfId="0" applyNumberFormat="1" applyFont="1" applyFill="1" applyBorder="1" applyAlignment="1">
      <alignment horizontal="left" vertical="center" wrapText="1"/>
    </xf>
    <xf numFmtId="49" fontId="138" fillId="0" borderId="8" xfId="0" applyNumberFormat="1" applyFont="1" applyFill="1" applyBorder="1" applyAlignment="1">
      <alignment horizontal="left" vertical="center" wrapText="1"/>
    </xf>
    <xf numFmtId="0" fontId="22" fillId="0" borderId="14" xfId="0" applyFont="1" applyFill="1" applyBorder="1" applyAlignment="1">
      <alignment horizontal="left" vertical="center"/>
    </xf>
    <xf numFmtId="0" fontId="79" fillId="0" borderId="23" xfId="0" applyFont="1" applyFill="1" applyBorder="1" applyAlignment="1">
      <alignment horizontal="left"/>
    </xf>
    <xf numFmtId="0" fontId="147" fillId="0" borderId="0" xfId="0" applyFont="1" applyFill="1" applyBorder="1" applyAlignment="1"/>
    <xf numFmtId="0" fontId="0" fillId="0" borderId="0" xfId="0" applyBorder="1" applyAlignment="1"/>
    <xf numFmtId="0" fontId="6" fillId="0" borderId="29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left" wrapText="1"/>
    </xf>
    <xf numFmtId="0" fontId="20" fillId="0" borderId="0" xfId="0" applyFont="1" applyFill="1" applyBorder="1" applyAlignment="1">
      <alignment horizontal="right" wrapText="1"/>
    </xf>
    <xf numFmtId="0" fontId="29" fillId="0" borderId="1" xfId="0" applyFont="1" applyFill="1" applyBorder="1" applyAlignment="1">
      <alignment horizontal="right" vertical="top" wrapText="1"/>
    </xf>
    <xf numFmtId="0" fontId="86" fillId="0" borderId="2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center" wrapText="1"/>
    </xf>
    <xf numFmtId="0" fontId="27" fillId="0" borderId="2" xfId="0" applyFont="1" applyFill="1" applyBorder="1" applyAlignment="1">
      <alignment horizontal="center" wrapText="1"/>
    </xf>
    <xf numFmtId="0" fontId="27" fillId="0" borderId="7" xfId="0" applyFont="1" applyFill="1" applyBorder="1" applyAlignment="1">
      <alignment horizontal="center" wrapText="1"/>
    </xf>
    <xf numFmtId="0" fontId="27" fillId="0" borderId="14" xfId="0" applyFont="1" applyFill="1" applyBorder="1" applyAlignment="1">
      <alignment horizontal="center" wrapText="1"/>
    </xf>
    <xf numFmtId="0" fontId="27" fillId="0" borderId="8" xfId="0" applyFont="1" applyFill="1" applyBorder="1" applyAlignment="1">
      <alignment horizont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29" xfId="0" applyFont="1" applyFill="1" applyBorder="1" applyAlignment="1">
      <alignment horizontal="center" vertical="center" wrapText="1"/>
    </xf>
    <xf numFmtId="0" fontId="27" fillId="0" borderId="3" xfId="0" applyFont="1" applyFill="1" applyBorder="1" applyAlignment="1">
      <alignment horizontal="center" vertical="center" wrapText="1"/>
    </xf>
    <xf numFmtId="0" fontId="27" fillId="0" borderId="10" xfId="0" applyFont="1" applyFill="1" applyBorder="1" applyAlignment="1">
      <alignment horizontal="center" wrapText="1"/>
    </xf>
    <xf numFmtId="0" fontId="27" fillId="0" borderId="3" xfId="0" applyFont="1" applyFill="1" applyBorder="1" applyAlignment="1">
      <alignment horizontal="center" wrapText="1"/>
    </xf>
    <xf numFmtId="0" fontId="13" fillId="0" borderId="0" xfId="196" applyFont="1" applyFill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20" fillId="0" borderId="0" xfId="196" applyFont="1" applyAlignment="1">
      <alignment horizontal="center" wrapText="1"/>
    </xf>
    <xf numFmtId="0" fontId="29" fillId="0" borderId="1" xfId="196" applyFont="1" applyBorder="1" applyAlignment="1">
      <alignment horizontal="right"/>
    </xf>
    <xf numFmtId="0" fontId="7" fillId="0" borderId="10" xfId="196" applyFont="1" applyBorder="1" applyAlignment="1">
      <alignment horizontal="center" vertical="center" wrapText="1"/>
    </xf>
    <xf numFmtId="0" fontId="7" fillId="0" borderId="3" xfId="196" applyFont="1" applyBorder="1" applyAlignment="1">
      <alignment horizontal="center" vertical="center" wrapText="1"/>
    </xf>
    <xf numFmtId="0" fontId="50" fillId="0" borderId="7" xfId="196" applyFont="1" applyBorder="1" applyAlignment="1">
      <alignment horizontal="center"/>
    </xf>
    <xf numFmtId="0" fontId="50" fillId="0" borderId="14" xfId="196" applyFont="1" applyBorder="1" applyAlignment="1">
      <alignment horizontal="center"/>
    </xf>
    <xf numFmtId="0" fontId="50" fillId="0" borderId="8" xfId="196" applyFont="1" applyBorder="1" applyAlignment="1">
      <alignment horizontal="center"/>
    </xf>
    <xf numFmtId="0" fontId="30" fillId="0" borderId="0" xfId="0" applyFont="1" applyAlignment="1">
      <alignment horizontal="left"/>
    </xf>
    <xf numFmtId="0" fontId="28" fillId="0" borderId="14" xfId="0" applyFont="1" applyBorder="1" applyAlignment="1">
      <alignment horizontal="center" vertical="center"/>
    </xf>
    <xf numFmtId="0" fontId="28" fillId="0" borderId="8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right" vertical="top" wrapText="1"/>
    </xf>
    <xf numFmtId="0" fontId="15" fillId="0" borderId="11" xfId="0" applyFont="1" applyBorder="1" applyAlignment="1">
      <alignment horizontal="center" vertical="center" wrapText="1"/>
    </xf>
    <xf numFmtId="0" fontId="15" fillId="0" borderId="29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28" fillId="0" borderId="7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2" xfId="0" applyFont="1" applyBorder="1" applyAlignment="1">
      <alignment horizontal="center" vertical="center" wrapText="1"/>
    </xf>
    <xf numFmtId="0" fontId="30" fillId="0" borderId="0" xfId="0" applyFont="1" applyAlignment="1">
      <alignment horizontal="right"/>
    </xf>
    <xf numFmtId="0" fontId="15" fillId="0" borderId="1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/>
    </xf>
    <xf numFmtId="0" fontId="12" fillId="0" borderId="2" xfId="0" applyFont="1" applyBorder="1" applyAlignment="1">
      <alignment horizontal="center" vertical="center" wrapText="1"/>
    </xf>
    <xf numFmtId="0" fontId="44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44" fillId="0" borderId="10" xfId="0" applyFont="1" applyBorder="1" applyAlignment="1">
      <alignment horizontal="center" vertical="center" wrapText="1"/>
    </xf>
    <xf numFmtId="0" fontId="44" fillId="0" borderId="3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" fontId="17" fillId="0" borderId="0" xfId="0" applyNumberFormat="1" applyFont="1" applyBorder="1" applyAlignment="1">
      <alignment horizontal="left" wrapText="1"/>
    </xf>
    <xf numFmtId="0" fontId="17" fillId="0" borderId="0" xfId="0" applyFont="1" applyBorder="1" applyAlignment="1">
      <alignment horizontal="left" wrapText="1"/>
    </xf>
    <xf numFmtId="0" fontId="18" fillId="0" borderId="2" xfId="0" applyFont="1" applyBorder="1" applyAlignment="1">
      <alignment horizontal="center" vertical="center" wrapText="1"/>
    </xf>
    <xf numFmtId="0" fontId="15" fillId="0" borderId="10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12" fillId="0" borderId="17" xfId="0" applyFont="1" applyBorder="1" applyAlignment="1">
      <alignment horizontal="center" wrapText="1"/>
    </xf>
    <xf numFmtId="0" fontId="12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right" wrapText="1"/>
    </xf>
    <xf numFmtId="0" fontId="30" fillId="0" borderId="0" xfId="0" applyFont="1" applyAlignment="1">
      <alignment horizontal="right" wrapText="1"/>
    </xf>
    <xf numFmtId="0" fontId="30" fillId="0" borderId="0" xfId="0" applyFont="1" applyAlignment="1">
      <alignment horizontal="left" wrapText="1"/>
    </xf>
    <xf numFmtId="0" fontId="8" fillId="0" borderId="10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wrapText="1"/>
    </xf>
    <xf numFmtId="0" fontId="6" fillId="0" borderId="11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left"/>
    </xf>
    <xf numFmtId="0" fontId="26" fillId="0" borderId="0" xfId="0" applyFont="1" applyFill="1" applyBorder="1" applyAlignment="1">
      <alignment horizontal="left" wrapText="1"/>
    </xf>
    <xf numFmtId="0" fontId="26" fillId="0" borderId="0" xfId="0" applyFont="1" applyFill="1" applyAlignment="1">
      <alignment horizontal="left" wrapText="1"/>
    </xf>
    <xf numFmtId="0" fontId="29" fillId="0" borderId="1" xfId="0" applyFont="1" applyFill="1" applyBorder="1" applyAlignment="1">
      <alignment horizontal="left"/>
    </xf>
    <xf numFmtId="0" fontId="6" fillId="0" borderId="10" xfId="0" applyFont="1" applyFill="1" applyBorder="1" applyAlignment="1">
      <alignment horizontal="center" vertical="center"/>
    </xf>
    <xf numFmtId="0" fontId="29" fillId="0" borderId="8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right" wrapText="1"/>
    </xf>
    <xf numFmtId="0" fontId="15" fillId="0" borderId="27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44" fillId="0" borderId="27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wrapText="1"/>
    </xf>
    <xf numFmtId="0" fontId="15" fillId="0" borderId="37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wrapText="1"/>
    </xf>
    <xf numFmtId="0" fontId="19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2" fillId="0" borderId="2" xfId="0" applyFont="1" applyBorder="1" applyAlignment="1">
      <alignment horizontal="center" wrapText="1"/>
    </xf>
    <xf numFmtId="0" fontId="12" fillId="0" borderId="7" xfId="0" applyFont="1" applyBorder="1" applyAlignment="1">
      <alignment horizontal="center" wrapText="1"/>
    </xf>
    <xf numFmtId="0" fontId="12" fillId="0" borderId="8" xfId="0" applyFont="1" applyBorder="1" applyAlignment="1">
      <alignment horizontal="center" wrapText="1"/>
    </xf>
    <xf numFmtId="0" fontId="15" fillId="0" borderId="24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wrapText="1"/>
    </xf>
    <xf numFmtId="0" fontId="27" fillId="0" borderId="2" xfId="0" applyFont="1" applyFill="1" applyBorder="1" applyAlignment="1">
      <alignment horizontal="center" vertical="center" wrapText="1"/>
    </xf>
    <xf numFmtId="0" fontId="18" fillId="0" borderId="0" xfId="0" applyFont="1" applyAlignment="1">
      <alignment horizontal="left" wrapText="1"/>
    </xf>
    <xf numFmtId="0" fontId="14" fillId="0" borderId="0" xfId="0" applyFont="1" applyAlignment="1">
      <alignment horizontal="left"/>
    </xf>
    <xf numFmtId="0" fontId="44" fillId="0" borderId="0" xfId="0" applyFont="1" applyAlignment="1">
      <alignment horizontal="left" wrapText="1"/>
    </xf>
    <xf numFmtId="0" fontId="12" fillId="0" borderId="0" xfId="0" applyFont="1" applyAlignment="1">
      <alignment horizontal="left" wrapText="1"/>
    </xf>
    <xf numFmtId="0" fontId="29" fillId="0" borderId="1" xfId="0" applyFont="1" applyBorder="1" applyAlignment="1">
      <alignment horizontal="right"/>
    </xf>
    <xf numFmtId="0" fontId="41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44" fillId="0" borderId="0" xfId="0" applyFont="1" applyBorder="1" applyAlignment="1">
      <alignment horizontal="left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top" wrapText="1"/>
    </xf>
    <xf numFmtId="0" fontId="6" fillId="0" borderId="0" xfId="0" applyFont="1" applyAlignment="1">
      <alignment horizontal="right" vertical="center"/>
    </xf>
    <xf numFmtId="0" fontId="14" fillId="0" borderId="1" xfId="0" applyFont="1" applyBorder="1" applyAlignment="1">
      <alignment horizontal="right" wrapText="1"/>
    </xf>
    <xf numFmtId="49" fontId="14" fillId="0" borderId="0" xfId="0" applyNumberFormat="1" applyFont="1" applyBorder="1" applyAlignment="1">
      <alignment horizontal="center" vertical="center" wrapText="1"/>
    </xf>
    <xf numFmtId="49" fontId="14" fillId="34" borderId="0" xfId="0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22" fillId="0" borderId="0" xfId="0" applyFont="1" applyAlignment="1">
      <alignment horizontal="left" wrapText="1"/>
    </xf>
    <xf numFmtId="0" fontId="14" fillId="0" borderId="0" xfId="0" applyFont="1" applyAlignment="1">
      <alignment horizontal="left" wrapText="1"/>
    </xf>
    <xf numFmtId="49" fontId="14" fillId="0" borderId="0" xfId="0" applyNumberFormat="1" applyFont="1" applyBorder="1" applyAlignment="1">
      <alignment horizontal="left"/>
    </xf>
    <xf numFmtId="0" fontId="22" fillId="0" borderId="0" xfId="0" applyFont="1" applyBorder="1" applyAlignment="1">
      <alignment horizontal="left"/>
    </xf>
    <xf numFmtId="0" fontId="22" fillId="0" borderId="7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10" xfId="0" applyFont="1" applyBorder="1" applyAlignment="1">
      <alignment vertical="center"/>
    </xf>
    <xf numFmtId="0" fontId="37" fillId="0" borderId="2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wrapText="1"/>
    </xf>
    <xf numFmtId="0" fontId="29" fillId="0" borderId="7" xfId="0" applyFont="1" applyBorder="1" applyAlignment="1">
      <alignment horizontal="center" vertical="center" wrapText="1"/>
    </xf>
    <xf numFmtId="0" fontId="29" fillId="0" borderId="8" xfId="0" applyFont="1" applyBorder="1" applyAlignment="1">
      <alignment horizontal="center" vertical="center" wrapText="1"/>
    </xf>
    <xf numFmtId="0" fontId="100" fillId="0" borderId="0" xfId="0" applyFont="1" applyAlignment="1">
      <alignment horizontal="left"/>
    </xf>
    <xf numFmtId="2" fontId="22" fillId="0" borderId="0" xfId="0" applyNumberFormat="1" applyFont="1" applyBorder="1" applyAlignment="1">
      <alignment horizontal="left"/>
    </xf>
    <xf numFmtId="2" fontId="14" fillId="0" borderId="0" xfId="0" applyNumberFormat="1" applyFont="1" applyBorder="1" applyAlignment="1">
      <alignment horizontal="left"/>
    </xf>
    <xf numFmtId="0" fontId="8" fillId="0" borderId="11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right" vertical="top" wrapText="1"/>
    </xf>
    <xf numFmtId="0" fontId="9" fillId="0" borderId="0" xfId="0" applyFont="1" applyBorder="1" applyAlignment="1">
      <alignment horizontal="right" vertical="top" wrapText="1"/>
    </xf>
    <xf numFmtId="0" fontId="9" fillId="0" borderId="7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right" vertical="top" wrapText="1"/>
    </xf>
    <xf numFmtId="0" fontId="8" fillId="0" borderId="2" xfId="0" applyFont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12" fillId="34" borderId="0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19" fillId="0" borderId="2" xfId="0" applyFont="1" applyBorder="1" applyAlignment="1">
      <alignment horizontal="center" vertical="center" wrapText="1"/>
    </xf>
    <xf numFmtId="0" fontId="37" fillId="0" borderId="0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right" vertical="center" wrapText="1"/>
    </xf>
    <xf numFmtId="49" fontId="26" fillId="0" borderId="0" xfId="0" applyNumberFormat="1" applyFont="1" applyFill="1" applyBorder="1" applyAlignment="1">
      <alignment horizontal="left" vertical="center" wrapText="1"/>
    </xf>
    <xf numFmtId="0" fontId="81" fillId="34" borderId="15" xfId="0" applyFont="1" applyFill="1" applyBorder="1" applyAlignment="1">
      <alignment horizontal="left" vertical="center" wrapText="1"/>
    </xf>
    <xf numFmtId="0" fontId="41" fillId="0" borderId="0" xfId="0" applyFont="1" applyFill="1" applyAlignment="1">
      <alignment horizontal="left" wrapText="1"/>
    </xf>
    <xf numFmtId="0" fontId="82" fillId="34" borderId="0" xfId="0" applyFont="1" applyFill="1" applyAlignment="1">
      <alignment horizontal="left" wrapText="1"/>
    </xf>
    <xf numFmtId="0" fontId="82" fillId="0" borderId="0" xfId="0" applyFont="1" applyFill="1" applyAlignment="1">
      <alignment horizontal="left" wrapText="1"/>
    </xf>
    <xf numFmtId="0" fontId="41" fillId="34" borderId="0" xfId="0" applyFont="1" applyFill="1" applyAlignment="1">
      <alignment horizontal="left" wrapText="1"/>
    </xf>
    <xf numFmtId="0" fontId="12" fillId="0" borderId="0" xfId="0" applyFont="1" applyFill="1" applyBorder="1" applyAlignment="1">
      <alignment horizontal="left" vertical="center" wrapText="1"/>
    </xf>
    <xf numFmtId="0" fontId="93" fillId="34" borderId="0" xfId="0" applyFont="1" applyFill="1" applyBorder="1" applyAlignment="1">
      <alignment horizontal="left" vertical="top" wrapText="1"/>
    </xf>
    <xf numFmtId="0" fontId="12" fillId="34" borderId="0" xfId="0" applyFont="1" applyFill="1" applyBorder="1" applyAlignment="1">
      <alignment horizontal="left" vertical="center" wrapText="1"/>
    </xf>
    <xf numFmtId="0" fontId="81" fillId="0" borderId="0" xfId="0" applyFont="1" applyFill="1" applyBorder="1" applyAlignment="1">
      <alignment horizontal="left" vertical="center" wrapText="1"/>
    </xf>
    <xf numFmtId="0" fontId="41" fillId="0" borderId="0" xfId="0" applyFont="1" applyFill="1" applyAlignment="1">
      <alignment horizontal="left"/>
    </xf>
    <xf numFmtId="0" fontId="28" fillId="34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vertical="center" wrapText="1"/>
    </xf>
    <xf numFmtId="0" fontId="15" fillId="34" borderId="0" xfId="0" applyFont="1" applyFill="1" applyBorder="1" applyAlignment="1">
      <alignment vertical="center" wrapText="1"/>
    </xf>
    <xf numFmtId="0" fontId="14" fillId="34" borderId="0" xfId="0" applyFont="1" applyFill="1" applyBorder="1" applyAlignment="1">
      <alignment horizontal="left" vertical="center" wrapText="1" indent="2"/>
    </xf>
    <xf numFmtId="0" fontId="13" fillId="0" borderId="0" xfId="0" applyFont="1" applyFill="1" applyBorder="1" applyAlignment="1">
      <alignment horizontal="left" vertical="center" wrapText="1" indent="2"/>
    </xf>
    <xf numFmtId="0" fontId="102" fillId="0" borderId="0" xfId="0" applyFont="1" applyFill="1" applyBorder="1" applyAlignment="1">
      <alignment horizontal="left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15" fillId="34" borderId="0" xfId="0" applyFont="1" applyFill="1" applyBorder="1" applyAlignment="1">
      <alignment horizontal="left" vertical="center" wrapText="1"/>
    </xf>
    <xf numFmtId="0" fontId="88" fillId="34" borderId="0" xfId="0" applyFont="1" applyFill="1" applyBorder="1" applyAlignment="1">
      <alignment horizontal="left" vertical="justify" wrapText="1"/>
    </xf>
    <xf numFmtId="0" fontId="89" fillId="0" borderId="0" xfId="0" applyFont="1" applyBorder="1" applyAlignment="1">
      <alignment horizontal="right" wrapText="1"/>
    </xf>
    <xf numFmtId="0" fontId="85" fillId="0" borderId="0" xfId="0" applyFont="1" applyBorder="1" applyAlignment="1">
      <alignment horizontal="right" wrapText="1"/>
    </xf>
    <xf numFmtId="0" fontId="85" fillId="0" borderId="0" xfId="0" applyFont="1" applyBorder="1" applyAlignment="1">
      <alignment horizontal="left" wrapText="1"/>
    </xf>
    <xf numFmtId="0" fontId="9" fillId="0" borderId="11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85" fillId="34" borderId="0" xfId="0" applyFont="1" applyFill="1" applyBorder="1" applyAlignment="1">
      <alignment horizontal="left" wrapText="1"/>
    </xf>
    <xf numFmtId="0" fontId="98" fillId="0" borderId="0" xfId="0" applyFont="1" applyFill="1" applyBorder="1" applyAlignment="1">
      <alignment horizontal="left" wrapText="1"/>
    </xf>
    <xf numFmtId="0" fontId="82" fillId="0" borderId="0" xfId="0" applyFont="1" applyFill="1" applyBorder="1" applyAlignment="1">
      <alignment horizontal="left" vertical="center" wrapText="1" indent="2"/>
    </xf>
    <xf numFmtId="0" fontId="27" fillId="34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left" wrapText="1"/>
    </xf>
    <xf numFmtId="0" fontId="82" fillId="34" borderId="0" xfId="0" applyFont="1" applyFill="1" applyBorder="1" applyAlignment="1">
      <alignment horizontal="left" vertical="center" wrapText="1" indent="2"/>
    </xf>
    <xf numFmtId="10" fontId="82" fillId="34" borderId="0" xfId="0" applyNumberFormat="1" applyFont="1" applyFill="1" applyAlignment="1">
      <alignment horizontal="left" wrapText="1"/>
    </xf>
    <xf numFmtId="10" fontId="82" fillId="0" borderId="0" xfId="0" applyNumberFormat="1" applyFont="1" applyFill="1" applyBorder="1" applyAlignment="1">
      <alignment horizontal="left" wrapText="1"/>
    </xf>
    <xf numFmtId="0" fontId="22" fillId="34" borderId="0" xfId="0" applyFont="1" applyFill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center" wrapText="1"/>
    </xf>
    <xf numFmtId="0" fontId="24" fillId="0" borderId="0" xfId="0" applyFont="1" applyAlignment="1">
      <alignment horizontal="left" wrapText="1"/>
    </xf>
    <xf numFmtId="0" fontId="7" fillId="0" borderId="0" xfId="0" applyFont="1" applyAlignment="1">
      <alignment horizontal="right" wrapText="1"/>
    </xf>
    <xf numFmtId="0" fontId="14" fillId="0" borderId="0" xfId="0" applyFont="1" applyBorder="1" applyAlignment="1">
      <alignment horizontal="left" wrapText="1"/>
    </xf>
    <xf numFmtId="0" fontId="54" fillId="34" borderId="0" xfId="0" applyFont="1" applyFill="1" applyBorder="1" applyAlignment="1">
      <alignment horizontal="left" vertical="center" wrapText="1"/>
    </xf>
    <xf numFmtId="0" fontId="42" fillId="34" borderId="0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wrapText="1"/>
    </xf>
    <xf numFmtId="0" fontId="22" fillId="0" borderId="23" xfId="0" applyFont="1" applyBorder="1" applyAlignment="1">
      <alignment horizontal="left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14" fillId="0" borderId="0" xfId="0" applyFont="1" applyBorder="1" applyAlignment="1">
      <alignment horizontal="right" wrapText="1"/>
    </xf>
    <xf numFmtId="0" fontId="14" fillId="0" borderId="0" xfId="0" applyFont="1" applyBorder="1" applyAlignment="1">
      <alignment horizont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26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left" vertical="center" wrapText="1"/>
    </xf>
    <xf numFmtId="0" fontId="29" fillId="0" borderId="2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wrapText="1"/>
    </xf>
    <xf numFmtId="0" fontId="16" fillId="34" borderId="0" xfId="0" applyFont="1" applyFill="1" applyBorder="1" applyAlignment="1">
      <alignment horizontal="left" wrapText="1"/>
    </xf>
    <xf numFmtId="0" fontId="16" fillId="0" borderId="0" xfId="0" applyFont="1" applyFill="1" applyBorder="1" applyAlignment="1">
      <alignment horizontal="left" wrapText="1"/>
    </xf>
    <xf numFmtId="0" fontId="16" fillId="0" borderId="0" xfId="0" applyFont="1" applyBorder="1" applyAlignment="1">
      <alignment horizontal="left" vertical="center" wrapText="1"/>
    </xf>
    <xf numFmtId="0" fontId="13" fillId="0" borderId="0" xfId="0" applyFont="1" applyAlignment="1"/>
    <xf numFmtId="0" fontId="12" fillId="0" borderId="14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left" vertical="top" wrapText="1"/>
    </xf>
    <xf numFmtId="0" fontId="18" fillId="0" borderId="0" xfId="0" applyFont="1" applyBorder="1" applyAlignment="1">
      <alignment horizontal="left"/>
    </xf>
    <xf numFmtId="0" fontId="15" fillId="0" borderId="1" xfId="0" applyFont="1" applyBorder="1" applyAlignment="1">
      <alignment horizontal="right" vertical="center" wrapText="1"/>
    </xf>
    <xf numFmtId="0" fontId="28" fillId="0" borderId="0" xfId="0" applyFont="1" applyAlignment="1">
      <alignment horizontal="right" vertical="top"/>
    </xf>
    <xf numFmtId="0" fontId="28" fillId="0" borderId="0" xfId="0" applyFont="1" applyBorder="1" applyAlignment="1">
      <alignment horizontal="left" wrapText="1"/>
    </xf>
    <xf numFmtId="0" fontId="30" fillId="0" borderId="0" xfId="0" applyFont="1" applyBorder="1" applyAlignment="1">
      <alignment horizontal="center" vertical="center" wrapText="1"/>
    </xf>
    <xf numFmtId="0" fontId="30" fillId="0" borderId="0" xfId="0" applyFont="1" applyAlignment="1">
      <alignment horizontal="right" vertical="center"/>
    </xf>
    <xf numFmtId="0" fontId="12" fillId="0" borderId="1" xfId="0" applyFont="1" applyBorder="1" applyAlignment="1">
      <alignment horizontal="right" wrapText="1"/>
    </xf>
    <xf numFmtId="0" fontId="8" fillId="0" borderId="7" xfId="0" applyFont="1" applyBorder="1" applyAlignment="1">
      <alignment horizontal="center" vertical="center" wrapText="1"/>
    </xf>
    <xf numFmtId="0" fontId="28" fillId="0" borderId="25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wrapText="1"/>
    </xf>
    <xf numFmtId="0" fontId="39" fillId="0" borderId="0" xfId="0" applyFont="1" applyBorder="1" applyAlignment="1">
      <alignment horizontal="right" wrapText="1"/>
    </xf>
    <xf numFmtId="0" fontId="39" fillId="0" borderId="1" xfId="0" applyFont="1" applyBorder="1" applyAlignment="1">
      <alignment horizontal="left" vertical="top" wrapText="1"/>
    </xf>
    <xf numFmtId="0" fontId="39" fillId="0" borderId="1" xfId="0" applyFont="1" applyBorder="1" applyAlignment="1">
      <alignment horizontal="center" vertical="top" wrapText="1"/>
    </xf>
    <xf numFmtId="0" fontId="28" fillId="0" borderId="7" xfId="0" applyFont="1" applyBorder="1" applyAlignment="1">
      <alignment horizontal="center" vertical="center" wrapText="1"/>
    </xf>
    <xf numFmtId="0" fontId="28" fillId="0" borderId="14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left" wrapText="1"/>
    </xf>
    <xf numFmtId="0" fontId="9" fillId="0" borderId="2" xfId="0" applyFont="1" applyBorder="1" applyAlignment="1">
      <alignment horizontal="center" vertical="center" wrapText="1"/>
    </xf>
    <xf numFmtId="0" fontId="28" fillId="0" borderId="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top" wrapText="1"/>
    </xf>
    <xf numFmtId="0" fontId="41" fillId="0" borderId="0" xfId="0" applyFont="1" applyBorder="1" applyAlignment="1">
      <alignment horizontal="left" vertical="top" wrapText="1"/>
    </xf>
    <xf numFmtId="0" fontId="44" fillId="0" borderId="0" xfId="0" applyFont="1" applyBorder="1" applyAlignment="1">
      <alignment horizontal="left" vertical="top" wrapText="1"/>
    </xf>
    <xf numFmtId="0" fontId="50" fillId="0" borderId="1" xfId="0" applyFont="1" applyBorder="1" applyAlignment="1">
      <alignment horizontal="center" wrapText="1"/>
    </xf>
    <xf numFmtId="0" fontId="34" fillId="0" borderId="0" xfId="0" applyFont="1" applyBorder="1" applyAlignment="1">
      <alignment horizontal="left"/>
    </xf>
    <xf numFmtId="0" fontId="28" fillId="0" borderId="8" xfId="0" applyFont="1" applyFill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0" borderId="12" xfId="0" applyFont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25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12" xfId="0" applyFont="1" applyFill="1" applyBorder="1" applyAlignment="1">
      <alignment horizontal="center" vertical="center" wrapText="1"/>
    </xf>
    <xf numFmtId="0" fontId="28" fillId="0" borderId="0" xfId="0" applyFont="1" applyBorder="1" applyAlignment="1">
      <alignment horizontal="center" wrapText="1"/>
    </xf>
    <xf numFmtId="0" fontId="26" fillId="0" borderId="0" xfId="0" applyFont="1" applyBorder="1" applyAlignment="1">
      <alignment horizontal="left" wrapText="1"/>
    </xf>
    <xf numFmtId="0" fontId="17" fillId="0" borderId="0" xfId="0" applyFont="1" applyAlignment="1"/>
    <xf numFmtId="0" fontId="26" fillId="0" borderId="0" xfId="0" applyFont="1" applyAlignment="1">
      <alignment horizontal="left" wrapText="1"/>
    </xf>
    <xf numFmtId="0" fontId="45" fillId="0" borderId="0" xfId="0" applyFont="1" applyAlignment="1">
      <alignment horizontal="right" vertical="center" wrapText="1"/>
    </xf>
    <xf numFmtId="0" fontId="30" fillId="0" borderId="0" xfId="0" applyFont="1" applyAlignment="1">
      <alignment horizontal="right" vertical="center" wrapText="1"/>
    </xf>
    <xf numFmtId="0" fontId="30" fillId="0" borderId="0" xfId="0" applyFont="1" applyAlignment="1">
      <alignment horizontal="left" vertical="center" wrapText="1"/>
    </xf>
    <xf numFmtId="0" fontId="26" fillId="0" borderId="0" xfId="0" applyFont="1" applyBorder="1" applyAlignment="1">
      <alignment wrapText="1"/>
    </xf>
    <xf numFmtId="0" fontId="30" fillId="0" borderId="0" xfId="0" applyFont="1" applyBorder="1" applyAlignment="1">
      <alignment horizontal="right"/>
    </xf>
    <xf numFmtId="0" fontId="31" fillId="0" borderId="0" xfId="0" applyFont="1" applyAlignment="1">
      <alignment horizontal="left" wrapText="1"/>
    </xf>
    <xf numFmtId="0" fontId="18" fillId="0" borderId="7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 wrapText="1"/>
    </xf>
    <xf numFmtId="0" fontId="24" fillId="0" borderId="0" xfId="202" applyFont="1" applyAlignment="1">
      <alignment horizontal="left"/>
    </xf>
    <xf numFmtId="0" fontId="18" fillId="0" borderId="1" xfId="0" applyFont="1" applyBorder="1" applyAlignment="1">
      <alignment horizontal="right" wrapText="1"/>
    </xf>
    <xf numFmtId="0" fontId="18" fillId="0" borderId="7" xfId="0" applyFont="1" applyFill="1" applyBorder="1" applyAlignment="1">
      <alignment horizontal="center" vertical="center" wrapText="1"/>
    </xf>
    <xf numFmtId="0" fontId="18" fillId="0" borderId="14" xfId="0" applyFont="1" applyFill="1" applyBorder="1" applyAlignment="1">
      <alignment horizontal="center" vertical="center" wrapText="1"/>
    </xf>
    <xf numFmtId="0" fontId="18" fillId="0" borderId="8" xfId="0" applyFont="1" applyFill="1" applyBorder="1" applyAlignment="1">
      <alignment horizontal="center" vertical="center" wrapText="1"/>
    </xf>
    <xf numFmtId="0" fontId="39" fillId="0" borderId="0" xfId="0" applyFont="1" applyAlignment="1">
      <alignment horizontal="right" wrapText="1"/>
    </xf>
    <xf numFmtId="0" fontId="8" fillId="0" borderId="24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wrapText="1"/>
    </xf>
    <xf numFmtId="0" fontId="39" fillId="0" borderId="0" xfId="0" applyFont="1" applyAlignment="1">
      <alignment horizontal="left"/>
    </xf>
    <xf numFmtId="0" fontId="12" fillId="0" borderId="1" xfId="0" applyFont="1" applyBorder="1" applyAlignment="1">
      <alignment horizontal="right"/>
    </xf>
    <xf numFmtId="0" fontId="15" fillId="0" borderId="10" xfId="0" applyFont="1" applyBorder="1" applyAlignment="1">
      <alignment horizontal="center" wrapText="1"/>
    </xf>
    <xf numFmtId="0" fontId="15" fillId="0" borderId="3" xfId="0" applyFont="1" applyBorder="1" applyAlignment="1">
      <alignment horizontal="center" wrapText="1"/>
    </xf>
    <xf numFmtId="0" fontId="16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left" vertical="center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20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15" fillId="0" borderId="0" xfId="0" applyFont="1" applyAlignment="1">
      <alignment wrapText="1"/>
    </xf>
  </cellXfs>
  <cellStyles count="232">
    <cellStyle name="20% - Accent1 2" xfId="1"/>
    <cellStyle name="20% - Accent1 3" xfId="2"/>
    <cellStyle name="20% - Accent1 4" xfId="3"/>
    <cellStyle name="20% - Accent1 5" xfId="4"/>
    <cellStyle name="20% - Accent1 6" xfId="5"/>
    <cellStyle name="20% - Accent2 2" xfId="6"/>
    <cellStyle name="20% - Accent2 3" xfId="7"/>
    <cellStyle name="20% - Accent2 4" xfId="8"/>
    <cellStyle name="20% - Accent2 5" xfId="9"/>
    <cellStyle name="20% - Accent2 6" xfId="10"/>
    <cellStyle name="20% - Accent3 2" xfId="11"/>
    <cellStyle name="20% - Accent3 3" xfId="12"/>
    <cellStyle name="20% - Accent3 4" xfId="13"/>
    <cellStyle name="20% - Accent3 5" xfId="14"/>
    <cellStyle name="20% - Accent3 6" xfId="15"/>
    <cellStyle name="20% - Accent4 2" xfId="16"/>
    <cellStyle name="20% - Accent4 3" xfId="17"/>
    <cellStyle name="20% - Accent4 4" xfId="18"/>
    <cellStyle name="20% - Accent4 5" xfId="19"/>
    <cellStyle name="20% - Accent4 6" xfId="20"/>
    <cellStyle name="20% - Accent5 2" xfId="21"/>
    <cellStyle name="20% - Accent5 3" xfId="22"/>
    <cellStyle name="20% - Accent5 4" xfId="23"/>
    <cellStyle name="20% - Accent5 5" xfId="24"/>
    <cellStyle name="20% - Accent5 6" xfId="25"/>
    <cellStyle name="20% - Accent6 2" xfId="26"/>
    <cellStyle name="20% - Accent6 3" xfId="27"/>
    <cellStyle name="20% - Accent6 4" xfId="28"/>
    <cellStyle name="20% - Accent6 5" xfId="29"/>
    <cellStyle name="20% - Accent6 6" xfId="30"/>
    <cellStyle name="40% - Accent1 2" xfId="31"/>
    <cellStyle name="40% - Accent1 3" xfId="32"/>
    <cellStyle name="40% - Accent1 4" xfId="33"/>
    <cellStyle name="40% - Accent1 5" xfId="34"/>
    <cellStyle name="40% - Accent1 6" xfId="35"/>
    <cellStyle name="40% - Accent2 2" xfId="36"/>
    <cellStyle name="40% - Accent2 3" xfId="37"/>
    <cellStyle name="40% - Accent2 4" xfId="38"/>
    <cellStyle name="40% - Accent2 5" xfId="39"/>
    <cellStyle name="40% - Accent2 6" xfId="40"/>
    <cellStyle name="40% - Accent3 2" xfId="41"/>
    <cellStyle name="40% - Accent3 3" xfId="42"/>
    <cellStyle name="40% - Accent3 4" xfId="43"/>
    <cellStyle name="40% - Accent3 5" xfId="44"/>
    <cellStyle name="40% - Accent3 6" xfId="45"/>
    <cellStyle name="40% - Accent4 2" xfId="46"/>
    <cellStyle name="40% - Accent4 3" xfId="47"/>
    <cellStyle name="40% - Accent4 4" xfId="48"/>
    <cellStyle name="40% - Accent4 5" xfId="49"/>
    <cellStyle name="40% - Accent4 6" xfId="50"/>
    <cellStyle name="40% - Accent5 2" xfId="51"/>
    <cellStyle name="40% - Accent5 3" xfId="52"/>
    <cellStyle name="40% - Accent5 4" xfId="53"/>
    <cellStyle name="40% - Accent5 5" xfId="54"/>
    <cellStyle name="40% - Accent5 6" xfId="55"/>
    <cellStyle name="40% - Accent6 2" xfId="56"/>
    <cellStyle name="40% - Accent6 3" xfId="57"/>
    <cellStyle name="40% - Accent6 4" xfId="58"/>
    <cellStyle name="40% - Accent6 5" xfId="59"/>
    <cellStyle name="40% - Accent6 6" xfId="60"/>
    <cellStyle name="60% - Accent1 2" xfId="61"/>
    <cellStyle name="60% - Accent1 3" xfId="62"/>
    <cellStyle name="60% - Accent1 4" xfId="63"/>
    <cellStyle name="60% - Accent1 5" xfId="64"/>
    <cellStyle name="60% - Accent1 6" xfId="65"/>
    <cellStyle name="60% - Accent2 2" xfId="66"/>
    <cellStyle name="60% - Accent2 3" xfId="67"/>
    <cellStyle name="60% - Accent2 4" xfId="68"/>
    <cellStyle name="60% - Accent2 5" xfId="69"/>
    <cellStyle name="60% - Accent2 6" xfId="70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4 2" xfId="76"/>
    <cellStyle name="60% - Accent4 3" xfId="77"/>
    <cellStyle name="60% - Accent4 4" xfId="78"/>
    <cellStyle name="60% - Accent4 5" xfId="79"/>
    <cellStyle name="60% - Accent4 6" xfId="80"/>
    <cellStyle name="60% - Accent5 2" xfId="81"/>
    <cellStyle name="60% - Accent5 3" xfId="82"/>
    <cellStyle name="60% - Accent5 4" xfId="83"/>
    <cellStyle name="60% - Accent5 5" xfId="84"/>
    <cellStyle name="60% - Accent5 6" xfId="85"/>
    <cellStyle name="60% - Accent6 2" xfId="86"/>
    <cellStyle name="60% - Accent6 3" xfId="87"/>
    <cellStyle name="60% - Accent6 4" xfId="88"/>
    <cellStyle name="60% - Accent6 5" xfId="89"/>
    <cellStyle name="60% - Accent6 6" xfId="90"/>
    <cellStyle name="Accent1 2" xfId="91"/>
    <cellStyle name="Accent1 3" xfId="92"/>
    <cellStyle name="Accent1 4" xfId="93"/>
    <cellStyle name="Accent1 5" xfId="94"/>
    <cellStyle name="Accent1 6" xfId="95"/>
    <cellStyle name="Accent2 2" xfId="96"/>
    <cellStyle name="Accent2 3" xfId="97"/>
    <cellStyle name="Accent2 4" xfId="98"/>
    <cellStyle name="Accent2 5" xfId="99"/>
    <cellStyle name="Accent2 6" xfId="100"/>
    <cellStyle name="Accent3 2" xfId="101"/>
    <cellStyle name="Accent3 3" xfId="102"/>
    <cellStyle name="Accent3 4" xfId="103"/>
    <cellStyle name="Accent3 5" xfId="104"/>
    <cellStyle name="Accent3 6" xfId="105"/>
    <cellStyle name="Accent4 2" xfId="106"/>
    <cellStyle name="Accent4 3" xfId="107"/>
    <cellStyle name="Accent4 4" xfId="108"/>
    <cellStyle name="Accent4 5" xfId="109"/>
    <cellStyle name="Accent4 6" xfId="110"/>
    <cellStyle name="Accent5 2" xfId="111"/>
    <cellStyle name="Accent5 3" xfId="112"/>
    <cellStyle name="Accent5 4" xfId="113"/>
    <cellStyle name="Accent5 5" xfId="114"/>
    <cellStyle name="Accent5 6" xfId="115"/>
    <cellStyle name="Accent6 2" xfId="116"/>
    <cellStyle name="Accent6 3" xfId="117"/>
    <cellStyle name="Accent6 4" xfId="118"/>
    <cellStyle name="Accent6 5" xfId="119"/>
    <cellStyle name="Accent6 6" xfId="120"/>
    <cellStyle name="Bad 2" xfId="121"/>
    <cellStyle name="Bad 3" xfId="122"/>
    <cellStyle name="Bad 4" xfId="123"/>
    <cellStyle name="Bad 5" xfId="124"/>
    <cellStyle name="Bad 6" xfId="125"/>
    <cellStyle name="Calculation 2" xfId="126"/>
    <cellStyle name="Calculation 3" xfId="127"/>
    <cellStyle name="Calculation 4" xfId="128"/>
    <cellStyle name="Calculation 5" xfId="129"/>
    <cellStyle name="Calculation 6" xfId="130"/>
    <cellStyle name="Check Cell 2" xfId="131"/>
    <cellStyle name="Check Cell 3" xfId="132"/>
    <cellStyle name="Check Cell 4" xfId="133"/>
    <cellStyle name="Check Cell 5" xfId="134"/>
    <cellStyle name="Check Cell 6" xfId="135"/>
    <cellStyle name="Comma" xfId="136" builtinId="3"/>
    <cellStyle name="Comma 2" xfId="137"/>
    <cellStyle name="Explanatory Text 2" xfId="138"/>
    <cellStyle name="Explanatory Text 3" xfId="139"/>
    <cellStyle name="Explanatory Text 4" xfId="140"/>
    <cellStyle name="Explanatory Text 5" xfId="141"/>
    <cellStyle name="Explanatory Text 6" xfId="142"/>
    <cellStyle name="Followed Hyperlink 2" xfId="143"/>
    <cellStyle name="Followed Hyperlink 3" xfId="144"/>
    <cellStyle name="Followed Hyperlink 4" xfId="145"/>
    <cellStyle name="Followed Hyperlink 5" xfId="146"/>
    <cellStyle name="Followed Hyperlink 6" xfId="147"/>
    <cellStyle name="Good 2" xfId="148"/>
    <cellStyle name="Good 3" xfId="149"/>
    <cellStyle name="Good 4" xfId="150"/>
    <cellStyle name="Good 5" xfId="151"/>
    <cellStyle name="Good 6" xfId="152"/>
    <cellStyle name="Heading 1 2" xfId="153"/>
    <cellStyle name="Heading 1 3" xfId="154"/>
    <cellStyle name="Heading 1 4" xfId="155"/>
    <cellStyle name="Heading 1 5" xfId="156"/>
    <cellStyle name="Heading 1 6" xfId="157"/>
    <cellStyle name="Heading 2 2" xfId="158"/>
    <cellStyle name="Heading 2 3" xfId="159"/>
    <cellStyle name="Heading 2 4" xfId="160"/>
    <cellStyle name="Heading 2 5" xfId="161"/>
    <cellStyle name="Heading 2 6" xfId="162"/>
    <cellStyle name="Heading 3 2" xfId="163"/>
    <cellStyle name="Heading 3 3" xfId="164"/>
    <cellStyle name="Heading 3 4" xfId="165"/>
    <cellStyle name="Heading 3 5" xfId="166"/>
    <cellStyle name="Heading 3 6" xfId="167"/>
    <cellStyle name="Heading 4 2" xfId="168"/>
    <cellStyle name="Heading 4 3" xfId="169"/>
    <cellStyle name="Heading 4 4" xfId="170"/>
    <cellStyle name="Heading 4 5" xfId="171"/>
    <cellStyle name="Heading 4 6" xfId="172"/>
    <cellStyle name="Hyperlink" xfId="173" builtinId="8"/>
    <cellStyle name="Hyperlink 2" xfId="174"/>
    <cellStyle name="Hyperlink 3" xfId="175"/>
    <cellStyle name="Hyperlink 4" xfId="176"/>
    <cellStyle name="Hyperlink 5" xfId="177"/>
    <cellStyle name="Hyperlink 6" xfId="178"/>
    <cellStyle name="Input 2" xfId="179"/>
    <cellStyle name="Input 3" xfId="180"/>
    <cellStyle name="Input 4" xfId="181"/>
    <cellStyle name="Input 5" xfId="182"/>
    <cellStyle name="Input 6" xfId="183"/>
    <cellStyle name="Linked Cell 2" xfId="184"/>
    <cellStyle name="Linked Cell 3" xfId="185"/>
    <cellStyle name="Linked Cell 4" xfId="186"/>
    <cellStyle name="Linked Cell 5" xfId="187"/>
    <cellStyle name="Linked Cell 6" xfId="188"/>
    <cellStyle name="Neutral 2" xfId="189"/>
    <cellStyle name="Neutral 3" xfId="190"/>
    <cellStyle name="Neutral 4" xfId="191"/>
    <cellStyle name="Neutral 5" xfId="192"/>
    <cellStyle name="Neutral 6" xfId="193"/>
    <cellStyle name="Normal" xfId="0" builtinId="0"/>
    <cellStyle name="Normal 10" xfId="194"/>
    <cellStyle name="Normal 13" xfId="195"/>
    <cellStyle name="Normal 2" xfId="196"/>
    <cellStyle name="Normal 2 2" xfId="197"/>
    <cellStyle name="Normal 20" xfId="198"/>
    <cellStyle name="Normal 3 2" xfId="199"/>
    <cellStyle name="Normal 4 2" xfId="200"/>
    <cellStyle name="Normal 5 2" xfId="201"/>
    <cellStyle name="Normal 6" xfId="202"/>
    <cellStyle name="Normal 6 2" xfId="203"/>
    <cellStyle name="Normal 7" xfId="204"/>
    <cellStyle name="Normal 8" xfId="205"/>
    <cellStyle name="Normal 9" xfId="206"/>
    <cellStyle name="Note 2" xfId="207"/>
    <cellStyle name="Note 3" xfId="208"/>
    <cellStyle name="Note 4" xfId="209"/>
    <cellStyle name="Note 5" xfId="210"/>
    <cellStyle name="Note 6" xfId="211"/>
    <cellStyle name="Output 2" xfId="212"/>
    <cellStyle name="Output 3" xfId="213"/>
    <cellStyle name="Output 4" xfId="214"/>
    <cellStyle name="Output 5" xfId="215"/>
    <cellStyle name="Output 6" xfId="216"/>
    <cellStyle name="Title 2" xfId="217"/>
    <cellStyle name="Title 3" xfId="218"/>
    <cellStyle name="Title 4" xfId="219"/>
    <cellStyle name="Title 5" xfId="220"/>
    <cellStyle name="Title 6" xfId="221"/>
    <cellStyle name="Total 2" xfId="222"/>
    <cellStyle name="Total 3" xfId="223"/>
    <cellStyle name="Total 4" xfId="224"/>
    <cellStyle name="Total 5" xfId="225"/>
    <cellStyle name="Total 6" xfId="226"/>
    <cellStyle name="Warning Text 2" xfId="227"/>
    <cellStyle name="Warning Text 3" xfId="228"/>
    <cellStyle name="Warning Text 4" xfId="229"/>
    <cellStyle name="Warning Text 5" xfId="230"/>
    <cellStyle name="Warning Text 6" xfId="231"/>
  </cellStyles>
  <dxfs count="49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281940</xdr:colOff>
      <xdr:row>39</xdr:row>
      <xdr:rowOff>91440</xdr:rowOff>
    </xdr:from>
    <xdr:to>
      <xdr:col>7</xdr:col>
      <xdr:colOff>99060</xdr:colOff>
      <xdr:row>41</xdr:row>
      <xdr:rowOff>678180</xdr:rowOff>
    </xdr:to>
    <xdr:pic>
      <xdr:nvPicPr>
        <xdr:cNvPr id="142594" name="Picture 15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4120" y="10607040"/>
          <a:ext cx="861060" cy="10134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390525</xdr:colOff>
      <xdr:row>4</xdr:row>
      <xdr:rowOff>152400</xdr:rowOff>
    </xdr:from>
    <xdr:to>
      <xdr:col>9</xdr:col>
      <xdr:colOff>453390</xdr:colOff>
      <xdr:row>23</xdr:row>
      <xdr:rowOff>582930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66800" y="838200"/>
          <a:ext cx="4072890" cy="544068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595"/>
  <sheetViews>
    <sheetView tabSelected="1" zoomScale="80" zoomScaleNormal="80" workbookViewId="0">
      <selection activeCell="D16" sqref="D16"/>
    </sheetView>
  </sheetViews>
  <sheetFormatPr defaultRowHeight="12.75"/>
  <cols>
    <col min="1" max="1" width="0.42578125" style="344" customWidth="1"/>
    <col min="2" max="2" width="4.28515625" style="702" customWidth="1"/>
    <col min="3" max="3" width="5.140625" customWidth="1"/>
    <col min="4" max="4" width="14.7109375" customWidth="1"/>
    <col min="5" max="5" width="7.5703125" customWidth="1"/>
    <col min="6" max="6" width="5.5703125" customWidth="1"/>
    <col min="7" max="7" width="9.7109375" customWidth="1"/>
    <col min="8" max="8" width="9.42578125" customWidth="1"/>
    <col min="9" max="10" width="11.5703125" customWidth="1"/>
    <col min="11" max="11" width="6.85546875" customWidth="1"/>
    <col min="12" max="12" width="4.7109375" style="356" customWidth="1"/>
    <col min="13" max="13" width="3.140625" style="356" customWidth="1"/>
    <col min="14" max="14" width="7.42578125" style="356" customWidth="1"/>
    <col min="15" max="15" width="8.5703125" style="356" customWidth="1"/>
    <col min="16" max="18" width="9.140625" style="356" customWidth="1"/>
    <col min="19" max="19" width="11" style="356" customWidth="1"/>
    <col min="20" max="96" width="9.140625" style="356" customWidth="1"/>
  </cols>
  <sheetData>
    <row r="1" spans="1:20">
      <c r="B1" s="755"/>
      <c r="C1" s="364"/>
      <c r="D1" s="364"/>
      <c r="E1" s="364"/>
      <c r="F1" s="364"/>
      <c r="G1" s="364"/>
      <c r="H1" s="364"/>
      <c r="I1" s="364"/>
      <c r="J1" s="364"/>
      <c r="K1" s="364"/>
    </row>
    <row r="2" spans="1:20">
      <c r="B2" s="756"/>
      <c r="C2" s="364"/>
      <c r="D2" s="364"/>
      <c r="E2" s="364"/>
      <c r="F2" s="364"/>
      <c r="G2" s="364"/>
      <c r="H2" s="364"/>
      <c r="I2" s="364"/>
      <c r="J2" s="364"/>
      <c r="K2" s="364"/>
    </row>
    <row r="3" spans="1:20">
      <c r="B3" s="756"/>
      <c r="C3" s="364"/>
      <c r="D3" s="364"/>
      <c r="E3" s="364"/>
      <c r="F3" s="364"/>
      <c r="G3" s="364"/>
      <c r="H3" s="364"/>
      <c r="I3" s="364"/>
      <c r="J3" s="364"/>
      <c r="K3" s="364"/>
    </row>
    <row r="4" spans="1:20">
      <c r="B4" s="756"/>
      <c r="C4" s="364"/>
      <c r="D4" s="364"/>
      <c r="E4" s="364"/>
      <c r="F4" s="364"/>
      <c r="G4" s="364"/>
      <c r="H4" s="364"/>
      <c r="I4" s="364"/>
      <c r="J4" s="364"/>
      <c r="K4" s="364"/>
      <c r="M4" s="357"/>
    </row>
    <row r="5" spans="1:20" ht="13.5" thickBot="1">
      <c r="B5" s="756"/>
      <c r="C5" s="364"/>
      <c r="D5" s="364"/>
      <c r="E5" s="364"/>
      <c r="F5" s="364"/>
      <c r="G5" s="364"/>
      <c r="H5" s="364"/>
      <c r="I5" s="364"/>
      <c r="J5" s="364"/>
      <c r="K5" s="364"/>
    </row>
    <row r="6" spans="1:20">
      <c r="B6" s="756"/>
      <c r="C6" s="364"/>
      <c r="D6" s="364"/>
      <c r="E6" s="364"/>
      <c r="F6" s="364"/>
      <c r="G6" s="364"/>
      <c r="H6" s="364"/>
      <c r="I6" s="364"/>
      <c r="J6" s="364"/>
      <c r="K6" s="364"/>
      <c r="M6" s="706"/>
      <c r="N6" s="707"/>
      <c r="O6" s="707"/>
      <c r="P6" s="707"/>
      <c r="Q6" s="707"/>
      <c r="R6" s="707"/>
      <c r="S6" s="707"/>
      <c r="T6" s="708"/>
    </row>
    <row r="7" spans="1:20" ht="15">
      <c r="A7" s="345"/>
      <c r="B7" s="756"/>
      <c r="C7" s="345"/>
      <c r="D7" s="685"/>
      <c r="E7" s="345"/>
      <c r="F7" s="345"/>
      <c r="G7" s="345"/>
      <c r="H7" s="345"/>
      <c r="I7" s="345"/>
      <c r="J7" s="345"/>
      <c r="K7" s="345"/>
      <c r="M7" s="709"/>
      <c r="N7" s="357"/>
      <c r="O7" s="357"/>
      <c r="P7" s="357"/>
      <c r="Q7" s="357"/>
      <c r="R7" s="357"/>
      <c r="S7" s="357"/>
      <c r="T7" s="710"/>
    </row>
    <row r="8" spans="1:20" ht="20.25">
      <c r="A8" s="345"/>
      <c r="B8" s="756"/>
      <c r="C8" s="345"/>
      <c r="D8" s="685"/>
      <c r="E8" s="345"/>
      <c r="F8" s="345"/>
      <c r="G8" s="345"/>
      <c r="H8" s="345"/>
      <c r="I8" s="345"/>
      <c r="J8" s="345"/>
      <c r="K8" s="345"/>
      <c r="M8" s="709"/>
      <c r="N8" s="357"/>
      <c r="O8" s="357"/>
      <c r="P8" s="711"/>
      <c r="Q8" s="712" t="s">
        <v>1681</v>
      </c>
      <c r="R8" s="711"/>
      <c r="S8" s="357"/>
      <c r="T8" s="710"/>
    </row>
    <row r="9" spans="1:20" ht="14.25" customHeight="1">
      <c r="A9" s="345"/>
      <c r="B9" s="756"/>
      <c r="C9" s="345"/>
      <c r="D9" s="685"/>
      <c r="E9" s="345"/>
      <c r="F9" s="345"/>
      <c r="G9" s="345"/>
      <c r="H9" s="345"/>
      <c r="I9" s="345"/>
      <c r="J9" s="345"/>
      <c r="K9" s="345"/>
      <c r="M9" s="709"/>
      <c r="N9" s="357"/>
      <c r="O9" s="357"/>
      <c r="P9" s="362"/>
      <c r="Q9" s="362"/>
      <c r="R9" s="362"/>
      <c r="S9" s="357"/>
      <c r="T9" s="710"/>
    </row>
    <row r="10" spans="1:20" ht="18.75" customHeight="1">
      <c r="A10" s="345"/>
      <c r="B10" s="756"/>
      <c r="C10" s="345"/>
      <c r="D10" s="685"/>
      <c r="E10" s="345"/>
      <c r="F10" s="345"/>
      <c r="G10" s="345"/>
      <c r="H10" s="345"/>
      <c r="I10" s="345"/>
      <c r="J10" s="345"/>
      <c r="K10" s="345"/>
      <c r="M10" s="709"/>
      <c r="N10" s="357"/>
      <c r="O10" s="357"/>
      <c r="P10" s="362"/>
      <c r="Q10" s="363" t="s">
        <v>1682</v>
      </c>
      <c r="R10" s="362"/>
      <c r="S10" s="357"/>
      <c r="T10" s="710"/>
    </row>
    <row r="11" spans="1:20" ht="16.5" customHeight="1">
      <c r="A11" s="345"/>
      <c r="B11" s="756"/>
      <c r="C11" s="345"/>
      <c r="D11" s="685"/>
      <c r="E11" s="345"/>
      <c r="F11" s="345"/>
      <c r="G11" s="345"/>
      <c r="H11" s="345"/>
      <c r="I11" s="345"/>
      <c r="J11" s="345"/>
      <c r="K11" s="345"/>
      <c r="M11" s="709"/>
      <c r="N11" s="357"/>
      <c r="O11" s="1662" t="s">
        <v>2685</v>
      </c>
      <c r="P11" s="1662"/>
      <c r="Q11" s="1662"/>
      <c r="R11" s="1662"/>
      <c r="S11" s="1662"/>
      <c r="T11" s="710"/>
    </row>
    <row r="12" spans="1:20" ht="15" customHeight="1">
      <c r="A12" s="345"/>
      <c r="B12" s="756"/>
      <c r="C12" s="345"/>
      <c r="D12" s="685"/>
      <c r="E12" s="345"/>
      <c r="F12" s="345"/>
      <c r="G12" s="345"/>
      <c r="H12" s="345"/>
      <c r="I12" s="345"/>
      <c r="J12" s="345"/>
      <c r="K12" s="345"/>
      <c r="M12" s="709"/>
      <c r="N12" s="1661" t="s">
        <v>2950</v>
      </c>
      <c r="O12" s="1661"/>
      <c r="P12" s="1661"/>
      <c r="Q12" s="1661"/>
      <c r="R12" s="1661"/>
      <c r="S12" s="1661"/>
      <c r="T12" s="710"/>
    </row>
    <row r="13" spans="1:20" ht="14.25" customHeight="1">
      <c r="A13" s="345"/>
      <c r="B13" s="756"/>
      <c r="C13" s="345"/>
      <c r="D13" s="685"/>
      <c r="E13" s="345"/>
      <c r="F13" s="345"/>
      <c r="G13" s="345"/>
      <c r="H13" s="345"/>
      <c r="I13" s="345"/>
      <c r="J13" s="345"/>
      <c r="K13" s="345"/>
      <c r="M13" s="709"/>
      <c r="N13" s="357"/>
      <c r="O13" s="357"/>
      <c r="P13" s="362"/>
      <c r="Q13" s="362"/>
      <c r="R13" s="362"/>
      <c r="S13" s="357"/>
      <c r="T13" s="710"/>
    </row>
    <row r="14" spans="1:20" ht="11.25" customHeight="1">
      <c r="A14" s="345"/>
      <c r="B14" s="756"/>
      <c r="C14" s="345"/>
      <c r="D14" s="685"/>
      <c r="E14" s="345"/>
      <c r="F14" s="345"/>
      <c r="G14" s="345"/>
      <c r="H14" s="345"/>
      <c r="I14" s="345"/>
      <c r="J14" s="345"/>
      <c r="K14" s="345"/>
      <c r="M14" s="709"/>
      <c r="N14" s="357"/>
      <c r="O14" s="357"/>
      <c r="P14" s="362"/>
      <c r="Q14" s="362"/>
      <c r="R14" s="362"/>
      <c r="S14" s="357"/>
      <c r="T14" s="710"/>
    </row>
    <row r="15" spans="1:20" ht="39.75" customHeight="1">
      <c r="A15" s="345"/>
      <c r="B15" s="756"/>
      <c r="C15" s="345"/>
      <c r="D15" s="685"/>
      <c r="E15" s="345"/>
      <c r="F15" s="1671"/>
      <c r="G15" s="1671"/>
      <c r="H15" s="1671"/>
      <c r="I15" s="1671"/>
      <c r="J15" s="1671"/>
      <c r="K15" s="345"/>
      <c r="M15" s="709"/>
      <c r="N15" s="357"/>
      <c r="O15" s="357"/>
      <c r="P15" s="362"/>
      <c r="Q15" s="363" t="s">
        <v>1683</v>
      </c>
      <c r="R15" s="362"/>
      <c r="S15" s="357"/>
      <c r="T15" s="710"/>
    </row>
    <row r="16" spans="1:20" ht="50.25" customHeight="1">
      <c r="A16" s="345"/>
      <c r="B16" s="756"/>
      <c r="C16" s="345"/>
      <c r="D16" s="685"/>
      <c r="E16" s="1672"/>
      <c r="F16" s="1672"/>
      <c r="G16" s="1672"/>
      <c r="H16" s="1672"/>
      <c r="I16" s="1672"/>
      <c r="J16" s="1672"/>
      <c r="K16" s="1672"/>
      <c r="M16" s="709"/>
      <c r="N16" s="357"/>
      <c r="O16" s="357"/>
      <c r="P16" s="1656" t="s">
        <v>2991</v>
      </c>
      <c r="Q16" s="1656"/>
      <c r="R16" s="1656"/>
      <c r="S16" s="1656"/>
      <c r="T16" s="710"/>
    </row>
    <row r="17" spans="1:96" ht="47.25" customHeight="1">
      <c r="A17" s="345"/>
      <c r="B17" s="756"/>
      <c r="C17" s="345"/>
      <c r="D17" s="685"/>
      <c r="E17" s="686"/>
      <c r="F17" s="1663"/>
      <c r="G17" s="1663"/>
      <c r="H17" s="1663"/>
      <c r="I17" s="1663"/>
      <c r="J17" s="1663"/>
      <c r="K17" s="686"/>
      <c r="M17" s="709"/>
      <c r="N17" s="357"/>
      <c r="O17" s="357"/>
      <c r="P17" s="1664" t="s">
        <v>2967</v>
      </c>
      <c r="Q17" s="1664"/>
      <c r="R17" s="1664"/>
      <c r="S17" s="1664"/>
      <c r="T17" s="710"/>
    </row>
    <row r="18" spans="1:96" ht="24.75" customHeight="1">
      <c r="A18" s="345"/>
      <c r="B18" s="756"/>
      <c r="C18" s="345"/>
      <c r="D18" s="685"/>
      <c r="E18" s="345"/>
      <c r="F18" s="345"/>
      <c r="G18" s="345"/>
      <c r="H18" s="345"/>
      <c r="I18" s="345"/>
      <c r="J18" s="345"/>
      <c r="K18" s="345"/>
      <c r="M18" s="709"/>
      <c r="N18" s="357"/>
      <c r="O18" s="357"/>
      <c r="P18" s="1656" t="s">
        <v>2949</v>
      </c>
      <c r="Q18" s="1656"/>
      <c r="R18" s="1656"/>
      <c r="S18" s="1656"/>
      <c r="T18" s="710"/>
    </row>
    <row r="19" spans="1:96" ht="12" customHeight="1">
      <c r="A19" s="345"/>
      <c r="B19" s="756"/>
      <c r="C19" s="345"/>
      <c r="D19" s="685"/>
      <c r="E19" s="345"/>
      <c r="F19" s="345"/>
      <c r="G19" s="345"/>
      <c r="H19" s="345"/>
      <c r="I19" s="345"/>
      <c r="J19" s="345"/>
      <c r="K19" s="345"/>
      <c r="M19" s="709"/>
      <c r="N19" s="357"/>
      <c r="O19" s="357"/>
      <c r="P19" s="1656"/>
      <c r="Q19" s="1656"/>
      <c r="R19" s="1656"/>
      <c r="S19" s="1656"/>
      <c r="T19" s="710"/>
    </row>
    <row r="20" spans="1:96" ht="13.5" customHeight="1">
      <c r="A20" s="345"/>
      <c r="B20" s="756"/>
      <c r="C20" s="345"/>
      <c r="D20" s="685"/>
      <c r="E20" s="345"/>
      <c r="F20" s="345"/>
      <c r="G20" s="345"/>
      <c r="H20" s="345"/>
      <c r="I20" s="345"/>
      <c r="J20" s="345"/>
      <c r="K20" s="345"/>
      <c r="M20" s="709"/>
      <c r="N20" s="357"/>
      <c r="O20" s="357"/>
      <c r="P20" s="1656"/>
      <c r="Q20" s="1656"/>
      <c r="R20" s="1656"/>
      <c r="S20" s="1656"/>
      <c r="T20" s="710"/>
    </row>
    <row r="21" spans="1:96" ht="15" customHeight="1">
      <c r="A21" s="345"/>
      <c r="B21" s="756"/>
      <c r="C21" s="345"/>
      <c r="D21" s="685"/>
      <c r="E21" s="345"/>
      <c r="F21" s="345"/>
      <c r="G21" s="345"/>
      <c r="H21" s="345"/>
      <c r="I21" s="345"/>
      <c r="J21" s="345"/>
      <c r="K21" s="345"/>
      <c r="M21" s="709"/>
      <c r="N21" s="357"/>
      <c r="O21" s="357"/>
      <c r="P21" s="1657" t="s">
        <v>2678</v>
      </c>
      <c r="Q21" s="1657"/>
      <c r="R21" s="1657"/>
      <c r="S21" s="1657"/>
      <c r="T21" s="710"/>
    </row>
    <row r="22" spans="1:96" ht="16.5" customHeight="1">
      <c r="A22" s="345"/>
      <c r="B22" s="756"/>
      <c r="C22" s="345"/>
      <c r="D22" s="685"/>
      <c r="E22" s="345"/>
      <c r="F22" s="345"/>
      <c r="G22" s="345"/>
      <c r="H22" s="345"/>
      <c r="I22" s="345"/>
      <c r="J22" s="345"/>
      <c r="K22" s="345"/>
      <c r="M22" s="709"/>
      <c r="N22" s="357"/>
      <c r="O22" s="357"/>
      <c r="P22" s="1658" t="s">
        <v>2770</v>
      </c>
      <c r="Q22" s="1658"/>
      <c r="R22" s="1658"/>
      <c r="S22" s="357"/>
      <c r="T22" s="710"/>
      <c r="U22" s="388"/>
    </row>
    <row r="23" spans="1:96" ht="27" customHeight="1">
      <c r="A23" s="345"/>
      <c r="B23" s="756"/>
      <c r="C23" s="345"/>
      <c r="D23" s="685"/>
      <c r="E23" s="345"/>
      <c r="F23" s="345"/>
      <c r="G23" s="345"/>
      <c r="H23" s="345"/>
      <c r="I23" s="345"/>
      <c r="J23" s="345"/>
      <c r="K23" s="345"/>
      <c r="M23" s="709"/>
      <c r="N23" s="357"/>
      <c r="O23" s="357"/>
      <c r="P23" s="1659" t="s">
        <v>2679</v>
      </c>
      <c r="Q23" s="1659"/>
      <c r="R23" s="1659"/>
      <c r="S23" s="1659"/>
      <c r="T23" s="710"/>
    </row>
    <row r="24" spans="1:96" ht="49.5" customHeight="1" thickBot="1">
      <c r="A24" s="345"/>
      <c r="B24" s="756"/>
      <c r="C24" s="345"/>
      <c r="D24" s="685"/>
      <c r="E24" s="345"/>
      <c r="F24" s="345"/>
      <c r="G24" s="345"/>
      <c r="H24" s="345"/>
      <c r="I24" s="345"/>
      <c r="J24" s="345"/>
      <c r="K24" s="345"/>
      <c r="M24" s="713"/>
      <c r="N24" s="714"/>
      <c r="O24" s="714"/>
      <c r="P24" s="1660" t="s">
        <v>2770</v>
      </c>
      <c r="Q24" s="1660"/>
      <c r="R24" s="1660"/>
      <c r="S24" s="714"/>
      <c r="T24" s="715"/>
    </row>
    <row r="25" spans="1:96" ht="15" customHeight="1">
      <c r="A25" s="345"/>
      <c r="B25" s="756"/>
      <c r="C25" s="345"/>
      <c r="D25" s="685"/>
      <c r="E25" s="345"/>
      <c r="F25" s="345"/>
      <c r="G25" s="345"/>
      <c r="H25" s="345"/>
      <c r="I25" s="345"/>
      <c r="J25" s="345"/>
      <c r="K25" s="345"/>
    </row>
    <row r="26" spans="1:96" ht="15" customHeight="1">
      <c r="A26" s="345"/>
      <c r="B26" s="756"/>
      <c r="C26" s="345"/>
      <c r="D26" s="685"/>
      <c r="E26" s="345"/>
      <c r="F26" s="345"/>
      <c r="G26" s="345"/>
      <c r="H26" s="345"/>
      <c r="I26" s="345"/>
      <c r="J26" s="345"/>
      <c r="K26" s="345"/>
    </row>
    <row r="27" spans="1:96" ht="15" customHeight="1">
      <c r="A27" s="345"/>
      <c r="B27" s="756"/>
      <c r="C27" s="345"/>
      <c r="D27" s="685"/>
      <c r="E27" s="345"/>
      <c r="F27" s="345"/>
      <c r="G27" s="345"/>
      <c r="H27" s="345"/>
      <c r="I27" s="345"/>
      <c r="J27" s="345"/>
      <c r="K27" s="345"/>
    </row>
    <row r="28" spans="1:96" ht="15" customHeight="1">
      <c r="A28" s="345"/>
      <c r="B28" s="756"/>
      <c r="C28" s="345"/>
      <c r="D28" s="685"/>
      <c r="E28" s="345"/>
      <c r="F28" s="345"/>
      <c r="G28" s="345"/>
      <c r="H28" s="345"/>
      <c r="I28" s="345"/>
      <c r="J28" s="345"/>
      <c r="K28" s="345"/>
    </row>
    <row r="29" spans="1:96" ht="15.75">
      <c r="A29" s="345"/>
      <c r="B29" s="756"/>
      <c r="C29" s="345"/>
      <c r="D29" s="685"/>
      <c r="E29" s="345"/>
      <c r="F29" s="345"/>
      <c r="G29" s="345"/>
      <c r="H29" s="345"/>
      <c r="I29" s="345"/>
      <c r="J29" s="345"/>
      <c r="K29" s="345"/>
      <c r="N29" s="357"/>
      <c r="O29" s="357"/>
      <c r="P29" s="394"/>
      <c r="Q29" s="1682"/>
      <c r="R29" s="1683"/>
      <c r="S29" s="1683"/>
      <c r="T29" s="357"/>
    </row>
    <row r="30" spans="1:96" ht="15.75" thickBot="1">
      <c r="A30" s="345"/>
      <c r="B30" s="756"/>
      <c r="C30" s="345"/>
      <c r="D30" s="685"/>
      <c r="E30" s="345"/>
      <c r="F30" s="345"/>
      <c r="G30" s="345"/>
      <c r="H30" s="345"/>
      <c r="I30" s="345"/>
      <c r="J30" s="345"/>
      <c r="K30" s="345"/>
      <c r="N30" s="357"/>
      <c r="O30" s="357"/>
      <c r="P30" s="357"/>
      <c r="Q30" s="357"/>
      <c r="R30" s="357"/>
      <c r="S30" s="357"/>
      <c r="T30" s="357"/>
    </row>
    <row r="31" spans="1:96" ht="41.25" customHeight="1">
      <c r="A31" s="345"/>
      <c r="B31" s="756"/>
      <c r="C31" s="724"/>
      <c r="D31" s="725"/>
      <c r="E31" s="716"/>
      <c r="F31" s="716"/>
      <c r="G31" s="716"/>
      <c r="H31" s="716"/>
      <c r="I31" s="716"/>
      <c r="J31" s="717"/>
      <c r="K31" s="345"/>
      <c r="M31" s="1676" t="s">
        <v>2790</v>
      </c>
      <c r="N31" s="1677"/>
      <c r="O31" s="1677"/>
      <c r="P31" s="1677"/>
      <c r="Q31" s="1677"/>
      <c r="R31" s="1677"/>
      <c r="S31" s="1677"/>
      <c r="T31" s="1678"/>
    </row>
    <row r="32" spans="1:96" s="390" customFormat="1" ht="27.75" customHeight="1">
      <c r="A32" s="387"/>
      <c r="B32" s="756"/>
      <c r="C32" s="1673" t="s">
        <v>1858</v>
      </c>
      <c r="D32" s="1674"/>
      <c r="E32" s="1674"/>
      <c r="F32" s="1674"/>
      <c r="G32" s="1674"/>
      <c r="H32" s="1674"/>
      <c r="I32" s="1674"/>
      <c r="J32" s="1675"/>
      <c r="K32" s="720"/>
      <c r="L32" s="388"/>
      <c r="M32" s="1679"/>
      <c r="N32" s="1680"/>
      <c r="O32" s="1680"/>
      <c r="P32" s="1680"/>
      <c r="Q32" s="1680"/>
      <c r="R32" s="1680"/>
      <c r="S32" s="1680"/>
      <c r="T32" s="1681"/>
      <c r="U32" s="388"/>
      <c r="V32" s="388"/>
      <c r="W32" s="388"/>
      <c r="X32" s="388"/>
      <c r="Y32" s="388"/>
      <c r="Z32" s="388"/>
      <c r="AA32" s="388"/>
      <c r="AB32" s="388"/>
      <c r="AC32" s="388"/>
      <c r="AD32" s="388"/>
      <c r="AE32" s="388"/>
      <c r="AF32" s="388"/>
      <c r="AG32" s="388"/>
      <c r="AH32" s="388"/>
      <c r="AI32" s="388"/>
      <c r="AJ32" s="388"/>
      <c r="AK32" s="388"/>
      <c r="AL32" s="388"/>
      <c r="AM32" s="388"/>
      <c r="AN32" s="388"/>
      <c r="AO32" s="388"/>
      <c r="AP32" s="388"/>
      <c r="AQ32" s="388"/>
      <c r="AR32" s="388"/>
      <c r="AS32" s="388"/>
      <c r="AT32" s="388"/>
      <c r="AU32" s="388"/>
      <c r="AV32" s="388"/>
      <c r="AW32" s="388"/>
      <c r="AX32" s="388"/>
      <c r="AY32" s="388"/>
      <c r="AZ32" s="388"/>
      <c r="BA32" s="388"/>
      <c r="BB32" s="388"/>
      <c r="BC32" s="388"/>
      <c r="BD32" s="388"/>
      <c r="BE32" s="388"/>
      <c r="BF32" s="388"/>
      <c r="BG32" s="388"/>
      <c r="BH32" s="388"/>
      <c r="BI32" s="388"/>
      <c r="BJ32" s="388"/>
      <c r="BK32" s="388"/>
      <c r="BL32" s="388"/>
      <c r="BM32" s="388"/>
      <c r="BN32" s="388"/>
      <c r="BO32" s="388"/>
      <c r="BP32" s="388"/>
      <c r="BQ32" s="388"/>
      <c r="BR32" s="388"/>
      <c r="BS32" s="388"/>
      <c r="BT32" s="388"/>
      <c r="BU32" s="388"/>
      <c r="BV32" s="388"/>
      <c r="BW32" s="388"/>
      <c r="BX32" s="388"/>
      <c r="BY32" s="388"/>
      <c r="BZ32" s="388"/>
      <c r="CA32" s="388"/>
      <c r="CB32" s="388"/>
      <c r="CC32" s="388"/>
      <c r="CD32" s="388"/>
      <c r="CE32" s="388"/>
      <c r="CF32" s="388"/>
      <c r="CG32" s="388"/>
      <c r="CH32" s="388"/>
      <c r="CI32" s="388"/>
      <c r="CJ32" s="388"/>
      <c r="CK32" s="388"/>
      <c r="CL32" s="388"/>
      <c r="CM32" s="388"/>
      <c r="CN32" s="388"/>
      <c r="CO32" s="388"/>
      <c r="CP32" s="388"/>
      <c r="CQ32" s="388"/>
      <c r="CR32" s="388"/>
    </row>
    <row r="33" spans="1:96" s="687" customFormat="1" ht="27" customHeight="1">
      <c r="A33" s="387"/>
      <c r="B33" s="688"/>
      <c r="C33" s="1651" t="s">
        <v>1859</v>
      </c>
      <c r="D33" s="1652"/>
      <c r="E33" s="1652"/>
      <c r="F33" s="1652"/>
      <c r="G33" s="1652"/>
      <c r="H33" s="1652"/>
      <c r="I33" s="1652"/>
      <c r="J33" s="1653"/>
      <c r="K33" s="721"/>
      <c r="L33" s="389"/>
      <c r="M33" s="1679"/>
      <c r="N33" s="1680"/>
      <c r="O33" s="1680"/>
      <c r="P33" s="1680"/>
      <c r="Q33" s="1680"/>
      <c r="R33" s="1680"/>
      <c r="S33" s="1680"/>
      <c r="T33" s="1681"/>
      <c r="U33" s="389"/>
      <c r="V33" s="389"/>
      <c r="W33" s="389"/>
      <c r="X33" s="389"/>
      <c r="Y33" s="389"/>
      <c r="Z33" s="389"/>
      <c r="AA33" s="389"/>
      <c r="AB33" s="389"/>
      <c r="AC33" s="389"/>
      <c r="AD33" s="389"/>
      <c r="AE33" s="389"/>
      <c r="AF33" s="389"/>
      <c r="AG33" s="389"/>
      <c r="AH33" s="389"/>
      <c r="AI33" s="389"/>
      <c r="AJ33" s="389"/>
      <c r="AK33" s="389"/>
      <c r="AL33" s="389"/>
      <c r="AM33" s="389"/>
      <c r="AN33" s="389"/>
      <c r="AO33" s="389"/>
      <c r="AP33" s="389"/>
      <c r="AQ33" s="389"/>
      <c r="AR33" s="389"/>
      <c r="AS33" s="389"/>
      <c r="AT33" s="389"/>
      <c r="AU33" s="389"/>
      <c r="AV33" s="389"/>
      <c r="AW33" s="389"/>
      <c r="AX33" s="389"/>
      <c r="AY33" s="389"/>
      <c r="AZ33" s="389"/>
      <c r="BA33" s="389"/>
      <c r="BB33" s="389"/>
      <c r="BC33" s="389"/>
      <c r="BD33" s="389"/>
      <c r="BE33" s="389"/>
      <c r="BF33" s="389"/>
      <c r="BG33" s="389"/>
      <c r="BH33" s="389"/>
      <c r="BI33" s="389"/>
      <c r="BJ33" s="389"/>
      <c r="BK33" s="389"/>
      <c r="BL33" s="389"/>
      <c r="BM33" s="389"/>
      <c r="BN33" s="389"/>
      <c r="BO33" s="389"/>
      <c r="BP33" s="389"/>
      <c r="BQ33" s="389"/>
      <c r="BR33" s="389"/>
      <c r="BS33" s="389"/>
      <c r="BT33" s="389"/>
      <c r="BU33" s="389"/>
      <c r="BV33" s="389"/>
      <c r="BW33" s="389"/>
      <c r="BX33" s="389"/>
      <c r="BY33" s="389"/>
      <c r="BZ33" s="389"/>
      <c r="CA33" s="389"/>
      <c r="CB33" s="389"/>
      <c r="CC33" s="389"/>
      <c r="CD33" s="389"/>
      <c r="CE33" s="389"/>
      <c r="CF33" s="389"/>
      <c r="CG33" s="389"/>
      <c r="CH33" s="389"/>
      <c r="CI33" s="389"/>
      <c r="CJ33" s="389"/>
      <c r="CK33" s="389"/>
      <c r="CL33" s="389"/>
      <c r="CM33" s="389"/>
      <c r="CN33" s="389"/>
      <c r="CO33" s="389"/>
      <c r="CP33" s="389"/>
      <c r="CQ33" s="389"/>
      <c r="CR33" s="389"/>
    </row>
    <row r="34" spans="1:96" s="687" customFormat="1" ht="24.75" customHeight="1">
      <c r="A34" s="387"/>
      <c r="B34" s="688"/>
      <c r="C34" s="1665" t="s">
        <v>2969</v>
      </c>
      <c r="D34" s="1666"/>
      <c r="E34" s="1666"/>
      <c r="F34" s="1666"/>
      <c r="G34" s="1666"/>
      <c r="H34" s="1666"/>
      <c r="I34" s="1666"/>
      <c r="J34" s="1667"/>
      <c r="K34" s="722"/>
      <c r="L34" s="389"/>
      <c r="M34" s="1679"/>
      <c r="N34" s="1680"/>
      <c r="O34" s="1680"/>
      <c r="P34" s="1680"/>
      <c r="Q34" s="1680"/>
      <c r="R34" s="1680"/>
      <c r="S34" s="1680"/>
      <c r="T34" s="1681"/>
      <c r="U34" s="389"/>
      <c r="V34" s="389"/>
      <c r="W34" s="389"/>
      <c r="X34" s="389"/>
      <c r="Y34" s="389"/>
      <c r="Z34" s="389"/>
      <c r="AA34" s="389"/>
      <c r="AB34" s="389"/>
      <c r="AC34" s="389"/>
      <c r="AD34" s="389"/>
      <c r="AE34" s="389"/>
      <c r="AF34" s="389"/>
      <c r="AG34" s="389"/>
      <c r="AH34" s="389"/>
      <c r="AI34" s="389"/>
      <c r="AJ34" s="389"/>
      <c r="AK34" s="389"/>
      <c r="AL34" s="389"/>
      <c r="AM34" s="389"/>
      <c r="AN34" s="389"/>
      <c r="AO34" s="389"/>
      <c r="AP34" s="389"/>
      <c r="AQ34" s="389"/>
      <c r="AR34" s="389"/>
      <c r="AS34" s="389"/>
      <c r="AT34" s="389"/>
      <c r="AU34" s="389"/>
      <c r="AV34" s="389"/>
      <c r="AW34" s="389"/>
      <c r="AX34" s="389"/>
      <c r="AY34" s="389"/>
      <c r="AZ34" s="389"/>
      <c r="BA34" s="389"/>
      <c r="BB34" s="389"/>
      <c r="BC34" s="389"/>
      <c r="BD34" s="389"/>
      <c r="BE34" s="389"/>
      <c r="BF34" s="389"/>
      <c r="BG34" s="389"/>
      <c r="BH34" s="389"/>
      <c r="BI34" s="389"/>
      <c r="BJ34" s="389"/>
      <c r="BK34" s="389"/>
      <c r="BL34" s="389"/>
      <c r="BM34" s="389"/>
      <c r="BN34" s="389"/>
      <c r="BO34" s="389"/>
      <c r="BP34" s="389"/>
      <c r="BQ34" s="389"/>
      <c r="BR34" s="389"/>
      <c r="BS34" s="389"/>
      <c r="BT34" s="389"/>
      <c r="BU34" s="389"/>
      <c r="BV34" s="389"/>
      <c r="BW34" s="389"/>
      <c r="BX34" s="389"/>
      <c r="BY34" s="389"/>
      <c r="BZ34" s="389"/>
      <c r="CA34" s="389"/>
      <c r="CB34" s="389"/>
      <c r="CC34" s="389"/>
      <c r="CD34" s="389"/>
      <c r="CE34" s="389"/>
      <c r="CF34" s="389"/>
      <c r="CG34" s="389"/>
      <c r="CH34" s="389"/>
      <c r="CI34" s="389"/>
      <c r="CJ34" s="389"/>
      <c r="CK34" s="389"/>
      <c r="CL34" s="389"/>
      <c r="CM34" s="389"/>
      <c r="CN34" s="389"/>
      <c r="CO34" s="389"/>
      <c r="CP34" s="389"/>
      <c r="CQ34" s="389"/>
      <c r="CR34" s="389"/>
    </row>
    <row r="35" spans="1:96" s="687" customFormat="1" ht="33.75" customHeight="1">
      <c r="A35" s="387"/>
      <c r="B35" s="684"/>
      <c r="C35" s="726"/>
      <c r="D35" s="704"/>
      <c r="E35" s="727"/>
      <c r="F35" s="727"/>
      <c r="G35" s="727"/>
      <c r="H35" s="727"/>
      <c r="I35" s="727"/>
      <c r="J35" s="728"/>
      <c r="K35" s="705"/>
      <c r="L35" s="389"/>
      <c r="M35" s="1679"/>
      <c r="N35" s="1680"/>
      <c r="O35" s="1680"/>
      <c r="P35" s="1680"/>
      <c r="Q35" s="1680"/>
      <c r="R35" s="1680"/>
      <c r="S35" s="1680"/>
      <c r="T35" s="1681"/>
      <c r="U35" s="389"/>
      <c r="V35" s="389"/>
      <c r="W35" s="389"/>
      <c r="X35" s="389"/>
      <c r="Y35" s="389"/>
      <c r="Z35" s="389"/>
      <c r="AA35" s="389"/>
      <c r="AB35" s="389"/>
      <c r="AC35" s="389"/>
      <c r="AD35" s="389"/>
      <c r="AE35" s="389"/>
      <c r="AF35" s="389"/>
      <c r="AG35" s="389"/>
      <c r="AH35" s="389"/>
      <c r="AI35" s="389"/>
      <c r="AJ35" s="389"/>
      <c r="AK35" s="389"/>
      <c r="AL35" s="389"/>
      <c r="AM35" s="389"/>
      <c r="AN35" s="389"/>
      <c r="AO35" s="389"/>
      <c r="AP35" s="389"/>
      <c r="AQ35" s="389"/>
      <c r="AR35" s="389"/>
      <c r="AS35" s="389"/>
      <c r="AT35" s="389"/>
      <c r="AU35" s="389"/>
      <c r="AV35" s="389"/>
      <c r="AW35" s="389"/>
      <c r="AX35" s="389"/>
      <c r="AY35" s="389"/>
      <c r="AZ35" s="389"/>
      <c r="BA35" s="389"/>
      <c r="BB35" s="389"/>
      <c r="BC35" s="389"/>
      <c r="BD35" s="389"/>
      <c r="BE35" s="389"/>
      <c r="BF35" s="389"/>
      <c r="BG35" s="389"/>
      <c r="BH35" s="389"/>
      <c r="BI35" s="389"/>
      <c r="BJ35" s="389"/>
      <c r="BK35" s="389"/>
      <c r="BL35" s="389"/>
      <c r="BM35" s="389"/>
      <c r="BN35" s="389"/>
      <c r="BO35" s="389"/>
      <c r="BP35" s="389"/>
      <c r="BQ35" s="389"/>
      <c r="BR35" s="389"/>
      <c r="BS35" s="389"/>
      <c r="BT35" s="389"/>
      <c r="BU35" s="389"/>
      <c r="BV35" s="389"/>
      <c r="BW35" s="389"/>
      <c r="BX35" s="389"/>
      <c r="BY35" s="389"/>
      <c r="BZ35" s="389"/>
      <c r="CA35" s="389"/>
      <c r="CB35" s="389"/>
      <c r="CC35" s="389"/>
      <c r="CD35" s="389"/>
      <c r="CE35" s="389"/>
      <c r="CF35" s="389"/>
      <c r="CG35" s="389"/>
      <c r="CH35" s="389"/>
      <c r="CI35" s="389"/>
      <c r="CJ35" s="389"/>
      <c r="CK35" s="389"/>
      <c r="CL35" s="389"/>
      <c r="CM35" s="389"/>
      <c r="CN35" s="389"/>
      <c r="CO35" s="389"/>
      <c r="CP35" s="389"/>
      <c r="CQ35" s="389"/>
      <c r="CR35" s="389"/>
    </row>
    <row r="36" spans="1:96" s="364" customFormat="1" ht="24" customHeight="1">
      <c r="A36" s="345"/>
      <c r="B36" s="684"/>
      <c r="C36" s="726"/>
      <c r="D36" s="727"/>
      <c r="E36" s="727"/>
      <c r="F36" s="727"/>
      <c r="G36" s="727"/>
      <c r="H36" s="727"/>
      <c r="I36" s="727"/>
      <c r="J36" s="728"/>
      <c r="K36" s="705"/>
      <c r="L36" s="357"/>
      <c r="M36" s="1679"/>
      <c r="N36" s="1680"/>
      <c r="O36" s="1680"/>
      <c r="P36" s="1680"/>
      <c r="Q36" s="1680"/>
      <c r="R36" s="1680"/>
      <c r="S36" s="1680"/>
      <c r="T36" s="1681"/>
      <c r="U36" s="357"/>
      <c r="V36" s="357"/>
      <c r="W36" s="357"/>
      <c r="X36" s="357"/>
      <c r="Y36" s="357"/>
      <c r="Z36" s="357"/>
      <c r="AA36" s="357"/>
      <c r="AB36" s="357"/>
      <c r="AC36" s="357"/>
      <c r="AD36" s="357"/>
      <c r="AE36" s="357"/>
      <c r="AF36" s="357"/>
      <c r="AG36" s="357"/>
      <c r="AH36" s="357"/>
      <c r="AI36" s="357"/>
      <c r="AJ36" s="357"/>
      <c r="AK36" s="357"/>
      <c r="AL36" s="357"/>
      <c r="AM36" s="357"/>
      <c r="AN36" s="357"/>
      <c r="AO36" s="357"/>
      <c r="AP36" s="357"/>
      <c r="AQ36" s="357"/>
      <c r="AR36" s="357"/>
      <c r="AS36" s="357"/>
      <c r="AT36" s="357"/>
      <c r="AU36" s="357"/>
      <c r="AV36" s="357"/>
      <c r="AW36" s="357"/>
      <c r="AX36" s="357"/>
      <c r="AY36" s="357"/>
      <c r="AZ36" s="357"/>
      <c r="BA36" s="357"/>
      <c r="BB36" s="357"/>
      <c r="BC36" s="357"/>
      <c r="BD36" s="357"/>
      <c r="BE36" s="357"/>
      <c r="BF36" s="357"/>
      <c r="BG36" s="357"/>
      <c r="BH36" s="357"/>
      <c r="BI36" s="357"/>
      <c r="BJ36" s="357"/>
      <c r="BK36" s="357"/>
      <c r="BL36" s="357"/>
      <c r="BM36" s="357"/>
      <c r="BN36" s="357"/>
      <c r="BO36" s="357"/>
      <c r="BP36" s="357"/>
      <c r="BQ36" s="357"/>
      <c r="BR36" s="357"/>
      <c r="BS36" s="357"/>
      <c r="BT36" s="357"/>
      <c r="BU36" s="357"/>
      <c r="BV36" s="357"/>
      <c r="BW36" s="357"/>
      <c r="BX36" s="357"/>
      <c r="BY36" s="357"/>
      <c r="BZ36" s="357"/>
      <c r="CA36" s="357"/>
      <c r="CB36" s="357"/>
      <c r="CC36" s="357"/>
      <c r="CD36" s="357"/>
      <c r="CE36" s="357"/>
      <c r="CF36" s="357"/>
      <c r="CG36" s="357"/>
      <c r="CH36" s="357"/>
      <c r="CI36" s="357"/>
      <c r="CJ36" s="357"/>
      <c r="CK36" s="357"/>
      <c r="CL36" s="357"/>
      <c r="CM36" s="357"/>
      <c r="CN36" s="357"/>
      <c r="CO36" s="357"/>
      <c r="CP36" s="357"/>
      <c r="CQ36" s="357"/>
      <c r="CR36" s="357"/>
    </row>
    <row r="37" spans="1:96" s="364" customFormat="1" ht="24" customHeight="1">
      <c r="A37" s="345"/>
      <c r="B37" s="684"/>
      <c r="C37" s="726"/>
      <c r="D37" s="727"/>
      <c r="E37" s="727"/>
      <c r="F37" s="727"/>
      <c r="G37" s="727"/>
      <c r="H37" s="727"/>
      <c r="I37" s="727"/>
      <c r="J37" s="728"/>
      <c r="K37" s="705"/>
      <c r="L37" s="357"/>
      <c r="M37" s="1095"/>
      <c r="O37" s="1668" t="s">
        <v>2966</v>
      </c>
      <c r="P37" s="1669"/>
      <c r="Q37" s="1669"/>
      <c r="R37" s="1669"/>
      <c r="S37" s="1669"/>
      <c r="T37" s="1670"/>
      <c r="U37" s="357"/>
      <c r="V37" s="357"/>
      <c r="W37" s="357"/>
      <c r="X37" s="357"/>
      <c r="Y37" s="357"/>
      <c r="Z37" s="357"/>
      <c r="AA37" s="357"/>
      <c r="AB37" s="357"/>
      <c r="AC37" s="357"/>
      <c r="AD37" s="357"/>
      <c r="AE37" s="357"/>
      <c r="AF37" s="357"/>
      <c r="AG37" s="357"/>
      <c r="AH37" s="357"/>
      <c r="AI37" s="357"/>
      <c r="AJ37" s="357"/>
      <c r="AK37" s="357"/>
      <c r="AL37" s="357"/>
      <c r="AM37" s="357"/>
      <c r="AN37" s="357"/>
      <c r="AO37" s="357"/>
      <c r="AP37" s="357"/>
      <c r="AQ37" s="357"/>
      <c r="AR37" s="357"/>
      <c r="AS37" s="357"/>
      <c r="AT37" s="357"/>
      <c r="AU37" s="357"/>
      <c r="AV37" s="357"/>
      <c r="AW37" s="357"/>
      <c r="AX37" s="357"/>
      <c r="AY37" s="357"/>
      <c r="AZ37" s="357"/>
      <c r="BA37" s="357"/>
      <c r="BB37" s="357"/>
      <c r="BC37" s="357"/>
      <c r="BD37" s="357"/>
      <c r="BE37" s="357"/>
      <c r="BF37" s="357"/>
      <c r="BG37" s="357"/>
      <c r="BH37" s="357"/>
      <c r="BI37" s="357"/>
      <c r="BJ37" s="357"/>
      <c r="BK37" s="357"/>
      <c r="BL37" s="357"/>
      <c r="BM37" s="357"/>
      <c r="BN37" s="357"/>
      <c r="BO37" s="357"/>
      <c r="BP37" s="357"/>
      <c r="BQ37" s="357"/>
      <c r="BR37" s="357"/>
      <c r="BS37" s="357"/>
      <c r="BT37" s="357"/>
      <c r="BU37" s="357"/>
      <c r="BV37" s="357"/>
      <c r="BW37" s="357"/>
      <c r="BX37" s="357"/>
      <c r="BY37" s="357"/>
      <c r="BZ37" s="357"/>
      <c r="CA37" s="357"/>
      <c r="CB37" s="357"/>
      <c r="CC37" s="357"/>
      <c r="CD37" s="357"/>
      <c r="CE37" s="357"/>
      <c r="CF37" s="357"/>
      <c r="CG37" s="357"/>
      <c r="CH37" s="357"/>
      <c r="CI37" s="357"/>
      <c r="CJ37" s="357"/>
      <c r="CK37" s="357"/>
      <c r="CL37" s="357"/>
      <c r="CM37" s="357"/>
      <c r="CN37" s="357"/>
      <c r="CO37" s="357"/>
      <c r="CP37" s="357"/>
      <c r="CQ37" s="357"/>
      <c r="CR37" s="357"/>
    </row>
    <row r="38" spans="1:96" s="356" customFormat="1" ht="20.25" customHeight="1">
      <c r="B38" s="702"/>
      <c r="C38" s="729"/>
      <c r="D38" s="730"/>
      <c r="E38" s="730"/>
      <c r="F38" s="730"/>
      <c r="G38" s="730"/>
      <c r="H38" s="730"/>
      <c r="I38" s="730"/>
      <c r="J38" s="731"/>
      <c r="K38" s="718"/>
      <c r="M38" s="709"/>
      <c r="N38" s="357"/>
      <c r="O38" s="1647" t="s">
        <v>1808</v>
      </c>
      <c r="P38" s="1647"/>
      <c r="Q38" s="1647"/>
      <c r="R38" s="399"/>
      <c r="S38" s="399"/>
      <c r="T38" s="1096"/>
    </row>
    <row r="39" spans="1:96" s="356" customFormat="1" ht="19.5" customHeight="1">
      <c r="B39" s="702"/>
      <c r="C39" s="729"/>
      <c r="D39" s="730"/>
      <c r="E39" s="730"/>
      <c r="F39" s="730"/>
      <c r="G39" s="730"/>
      <c r="H39" s="730"/>
      <c r="I39" s="730"/>
      <c r="J39" s="731"/>
      <c r="K39" s="718"/>
      <c r="M39" s="709"/>
      <c r="N39" s="357"/>
      <c r="O39" s="1647" t="s">
        <v>1684</v>
      </c>
      <c r="P39" s="1647"/>
      <c r="Q39" s="1647"/>
      <c r="R39" s="914"/>
      <c r="S39" s="357"/>
      <c r="T39" s="710"/>
    </row>
    <row r="40" spans="1:96" s="356" customFormat="1" ht="17.25" customHeight="1">
      <c r="B40" s="702"/>
      <c r="C40" s="729"/>
      <c r="D40" s="730"/>
      <c r="E40" s="730"/>
      <c r="F40" s="730"/>
      <c r="G40" s="730"/>
      <c r="H40" s="730"/>
      <c r="I40" s="730"/>
      <c r="J40" s="731"/>
      <c r="K40" s="718"/>
      <c r="M40" s="709"/>
      <c r="N40" s="360"/>
      <c r="O40" s="1647" t="s">
        <v>1685</v>
      </c>
      <c r="P40" s="1647"/>
      <c r="Q40" s="1647"/>
      <c r="R40" s="361"/>
      <c r="S40" s="360"/>
      <c r="T40" s="710"/>
    </row>
    <row r="41" spans="1:96" s="356" customFormat="1" ht="17.25" customHeight="1">
      <c r="B41" s="702"/>
      <c r="C41" s="729"/>
      <c r="D41" s="730"/>
      <c r="E41" s="730"/>
      <c r="F41" s="730"/>
      <c r="G41" s="730"/>
      <c r="H41" s="730"/>
      <c r="I41" s="730"/>
      <c r="J41" s="731"/>
      <c r="K41" s="718"/>
      <c r="M41" s="719"/>
      <c r="N41" s="360"/>
      <c r="O41" s="1647" t="s">
        <v>1686</v>
      </c>
      <c r="P41" s="1647"/>
      <c r="Q41" s="1647"/>
      <c r="R41" s="361"/>
      <c r="S41" s="360"/>
      <c r="T41" s="710"/>
    </row>
    <row r="42" spans="1:96" s="356" customFormat="1" ht="60" customHeight="1">
      <c r="B42" s="702"/>
      <c r="C42" s="729"/>
      <c r="D42" s="730"/>
      <c r="E42" s="730"/>
      <c r="F42" s="730"/>
      <c r="G42" s="730"/>
      <c r="H42" s="730"/>
      <c r="I42" s="730"/>
      <c r="J42" s="731"/>
      <c r="K42" s="718"/>
      <c r="M42" s="719"/>
      <c r="N42" s="360"/>
      <c r="O42" s="1654" t="s">
        <v>2919</v>
      </c>
      <c r="P42" s="1655"/>
      <c r="Q42" s="1655"/>
      <c r="R42" s="1655"/>
      <c r="S42" s="1655"/>
      <c r="T42" s="710"/>
    </row>
    <row r="43" spans="1:96" s="356" customFormat="1" ht="15.75" customHeight="1">
      <c r="B43" s="702"/>
      <c r="C43" s="729"/>
      <c r="D43" s="730"/>
      <c r="E43" s="730"/>
      <c r="F43" s="730"/>
      <c r="G43" s="730"/>
      <c r="H43" s="730"/>
      <c r="I43" s="730"/>
      <c r="J43" s="731"/>
      <c r="K43" s="718"/>
      <c r="M43" s="719"/>
      <c r="N43" s="360"/>
      <c r="O43" s="1647" t="s">
        <v>2415</v>
      </c>
      <c r="P43" s="1647"/>
      <c r="Q43" s="1647"/>
      <c r="R43" s="361"/>
      <c r="S43" s="360"/>
      <c r="T43" s="710"/>
    </row>
    <row r="44" spans="1:96" s="356" customFormat="1" ht="22.5" customHeight="1">
      <c r="B44" s="702"/>
      <c r="C44" s="1648" t="s">
        <v>1684</v>
      </c>
      <c r="D44" s="1649"/>
      <c r="E44" s="1649"/>
      <c r="F44" s="1649"/>
      <c r="G44" s="1649"/>
      <c r="H44" s="1649"/>
      <c r="I44" s="1649"/>
      <c r="J44" s="1650"/>
      <c r="K44" s="723"/>
      <c r="M44" s="719"/>
      <c r="N44" s="360"/>
      <c r="O44" s="1647" t="s">
        <v>1684</v>
      </c>
      <c r="P44" s="1647"/>
      <c r="Q44" s="1647"/>
      <c r="S44" s="360"/>
      <c r="T44" s="710"/>
    </row>
    <row r="45" spans="1:96" s="356" customFormat="1" ht="18.75" customHeight="1">
      <c r="B45" s="702"/>
      <c r="C45" s="1648" t="s">
        <v>1857</v>
      </c>
      <c r="D45" s="1649"/>
      <c r="E45" s="1649"/>
      <c r="F45" s="1649"/>
      <c r="G45" s="1649"/>
      <c r="H45" s="1649"/>
      <c r="I45" s="1649"/>
      <c r="J45" s="1650"/>
      <c r="K45" s="723"/>
      <c r="M45" s="709"/>
      <c r="N45" s="357"/>
      <c r="O45" s="1647" t="s">
        <v>1685</v>
      </c>
      <c r="P45" s="1647"/>
      <c r="Q45" s="1647"/>
      <c r="R45" s="357"/>
      <c r="S45" s="357"/>
      <c r="T45" s="710"/>
    </row>
    <row r="46" spans="1:96" s="356" customFormat="1" ht="14.25" customHeight="1">
      <c r="B46" s="702"/>
      <c r="C46" s="709"/>
      <c r="D46" s="357"/>
      <c r="E46" s="357"/>
      <c r="F46" s="357"/>
      <c r="G46" s="357"/>
      <c r="H46" s="357"/>
      <c r="I46" s="357"/>
      <c r="J46" s="710"/>
      <c r="K46" s="357"/>
      <c r="M46" s="709"/>
      <c r="N46" s="357"/>
      <c r="O46" s="1647" t="s">
        <v>1686</v>
      </c>
      <c r="P46" s="1647"/>
      <c r="Q46" s="1647"/>
      <c r="R46" s="357"/>
      <c r="S46" s="357"/>
      <c r="T46" s="710"/>
    </row>
    <row r="47" spans="1:96" s="356" customFormat="1" ht="24" customHeight="1" thickBot="1">
      <c r="B47" s="702"/>
      <c r="C47" s="713"/>
      <c r="D47" s="714"/>
      <c r="E47" s="714"/>
      <c r="F47" s="714"/>
      <c r="G47" s="714"/>
      <c r="H47" s="714"/>
      <c r="I47" s="714"/>
      <c r="J47" s="715"/>
      <c r="K47" s="357"/>
      <c r="M47" s="713"/>
      <c r="N47" s="714"/>
      <c r="O47" s="714"/>
      <c r="P47" s="714"/>
      <c r="Q47" s="714"/>
      <c r="R47" s="714"/>
      <c r="S47" s="714"/>
      <c r="T47" s="715"/>
    </row>
    <row r="48" spans="1:96" s="356" customFormat="1">
      <c r="B48" s="702"/>
      <c r="C48" s="357"/>
      <c r="D48" s="357"/>
      <c r="E48" s="357"/>
      <c r="F48" s="357"/>
      <c r="G48" s="357"/>
      <c r="H48" s="357"/>
      <c r="I48" s="357"/>
      <c r="J48" s="357"/>
      <c r="K48" s="357"/>
    </row>
    <row r="49" spans="2:2" s="356" customFormat="1">
      <c r="B49" s="702"/>
    </row>
    <row r="50" spans="2:2" s="356" customFormat="1">
      <c r="B50" s="702"/>
    </row>
    <row r="51" spans="2:2" s="356" customFormat="1">
      <c r="B51" s="702"/>
    </row>
    <row r="52" spans="2:2" s="356" customFormat="1">
      <c r="B52" s="702"/>
    </row>
    <row r="53" spans="2:2" s="356" customFormat="1">
      <c r="B53" s="702"/>
    </row>
    <row r="54" spans="2:2" s="356" customFormat="1">
      <c r="B54" s="702"/>
    </row>
    <row r="55" spans="2:2" s="356" customFormat="1">
      <c r="B55" s="702"/>
    </row>
    <row r="56" spans="2:2" s="356" customFormat="1">
      <c r="B56" s="702"/>
    </row>
    <row r="57" spans="2:2" s="356" customFormat="1">
      <c r="B57" s="702"/>
    </row>
    <row r="58" spans="2:2" s="356" customFormat="1">
      <c r="B58" s="702"/>
    </row>
    <row r="59" spans="2:2" s="356" customFormat="1">
      <c r="B59" s="702"/>
    </row>
    <row r="60" spans="2:2" s="356" customFormat="1">
      <c r="B60" s="702"/>
    </row>
    <row r="61" spans="2:2" s="356" customFormat="1">
      <c r="B61" s="702"/>
    </row>
    <row r="62" spans="2:2" s="356" customFormat="1">
      <c r="B62" s="702"/>
    </row>
    <row r="63" spans="2:2" s="356" customFormat="1">
      <c r="B63" s="702"/>
    </row>
    <row r="64" spans="2:2" s="356" customFormat="1">
      <c r="B64" s="702"/>
    </row>
    <row r="65" spans="2:2" s="356" customFormat="1">
      <c r="B65" s="702"/>
    </row>
    <row r="66" spans="2:2" s="356" customFormat="1">
      <c r="B66" s="702"/>
    </row>
    <row r="67" spans="2:2" s="356" customFormat="1">
      <c r="B67" s="702"/>
    </row>
    <row r="68" spans="2:2" s="356" customFormat="1">
      <c r="B68" s="702"/>
    </row>
    <row r="69" spans="2:2" s="356" customFormat="1">
      <c r="B69" s="702"/>
    </row>
    <row r="70" spans="2:2" s="356" customFormat="1">
      <c r="B70" s="702"/>
    </row>
    <row r="71" spans="2:2" s="356" customFormat="1">
      <c r="B71" s="702"/>
    </row>
    <row r="72" spans="2:2" s="356" customFormat="1">
      <c r="B72" s="702"/>
    </row>
    <row r="73" spans="2:2" s="356" customFormat="1">
      <c r="B73" s="702"/>
    </row>
    <row r="74" spans="2:2" s="356" customFormat="1">
      <c r="B74" s="702"/>
    </row>
    <row r="75" spans="2:2" s="356" customFormat="1">
      <c r="B75" s="702"/>
    </row>
    <row r="76" spans="2:2" s="356" customFormat="1">
      <c r="B76" s="702"/>
    </row>
    <row r="77" spans="2:2" s="356" customFormat="1">
      <c r="B77" s="702"/>
    </row>
    <row r="78" spans="2:2" s="356" customFormat="1">
      <c r="B78" s="702"/>
    </row>
    <row r="79" spans="2:2" s="356" customFormat="1">
      <c r="B79" s="702"/>
    </row>
    <row r="80" spans="2:2" s="356" customFormat="1">
      <c r="B80" s="702"/>
    </row>
    <row r="81" spans="2:2" s="356" customFormat="1">
      <c r="B81" s="702"/>
    </row>
    <row r="82" spans="2:2" s="356" customFormat="1">
      <c r="B82" s="702"/>
    </row>
    <row r="83" spans="2:2" s="356" customFormat="1">
      <c r="B83" s="702"/>
    </row>
    <row r="84" spans="2:2" s="356" customFormat="1">
      <c r="B84" s="702"/>
    </row>
    <row r="85" spans="2:2" s="356" customFormat="1">
      <c r="B85" s="702"/>
    </row>
    <row r="86" spans="2:2" s="356" customFormat="1">
      <c r="B86" s="702"/>
    </row>
    <row r="87" spans="2:2" s="356" customFormat="1">
      <c r="B87" s="702"/>
    </row>
    <row r="88" spans="2:2" s="356" customFormat="1">
      <c r="B88" s="702"/>
    </row>
    <row r="89" spans="2:2" s="356" customFormat="1">
      <c r="B89" s="702"/>
    </row>
    <row r="90" spans="2:2" s="356" customFormat="1">
      <c r="B90" s="702"/>
    </row>
    <row r="91" spans="2:2" s="356" customFormat="1">
      <c r="B91" s="702"/>
    </row>
    <row r="92" spans="2:2" s="356" customFormat="1">
      <c r="B92" s="702"/>
    </row>
    <row r="93" spans="2:2" s="356" customFormat="1">
      <c r="B93" s="702"/>
    </row>
    <row r="94" spans="2:2" s="356" customFormat="1">
      <c r="B94" s="702"/>
    </row>
    <row r="95" spans="2:2" s="356" customFormat="1">
      <c r="B95" s="702"/>
    </row>
    <row r="96" spans="2:2" s="356" customFormat="1">
      <c r="B96" s="702"/>
    </row>
    <row r="97" spans="2:2" s="356" customFormat="1">
      <c r="B97" s="702"/>
    </row>
    <row r="98" spans="2:2" s="356" customFormat="1">
      <c r="B98" s="702"/>
    </row>
    <row r="99" spans="2:2" s="356" customFormat="1">
      <c r="B99" s="702"/>
    </row>
    <row r="100" spans="2:2" s="356" customFormat="1">
      <c r="B100" s="702"/>
    </row>
    <row r="101" spans="2:2" s="356" customFormat="1">
      <c r="B101" s="702"/>
    </row>
    <row r="102" spans="2:2" s="356" customFormat="1">
      <c r="B102" s="702"/>
    </row>
    <row r="103" spans="2:2" s="356" customFormat="1">
      <c r="B103" s="702"/>
    </row>
    <row r="104" spans="2:2" s="356" customFormat="1">
      <c r="B104" s="702"/>
    </row>
    <row r="105" spans="2:2" s="356" customFormat="1">
      <c r="B105" s="702"/>
    </row>
    <row r="106" spans="2:2" s="356" customFormat="1">
      <c r="B106" s="702"/>
    </row>
    <row r="107" spans="2:2" s="356" customFormat="1">
      <c r="B107" s="702"/>
    </row>
    <row r="108" spans="2:2" s="356" customFormat="1">
      <c r="B108" s="702"/>
    </row>
    <row r="109" spans="2:2" s="356" customFormat="1">
      <c r="B109" s="702"/>
    </row>
    <row r="110" spans="2:2" s="356" customFormat="1">
      <c r="B110" s="702"/>
    </row>
    <row r="111" spans="2:2" s="356" customFormat="1">
      <c r="B111" s="702"/>
    </row>
    <row r="112" spans="2:2" s="356" customFormat="1">
      <c r="B112" s="702"/>
    </row>
    <row r="113" spans="2:2" s="356" customFormat="1">
      <c r="B113" s="702"/>
    </row>
    <row r="114" spans="2:2" s="356" customFormat="1">
      <c r="B114" s="702"/>
    </row>
    <row r="115" spans="2:2" s="356" customFormat="1">
      <c r="B115" s="702"/>
    </row>
    <row r="116" spans="2:2" s="356" customFormat="1">
      <c r="B116" s="702"/>
    </row>
    <row r="117" spans="2:2" s="356" customFormat="1">
      <c r="B117" s="702"/>
    </row>
    <row r="118" spans="2:2" s="356" customFormat="1">
      <c r="B118" s="702"/>
    </row>
    <row r="119" spans="2:2" s="356" customFormat="1">
      <c r="B119" s="702"/>
    </row>
    <row r="120" spans="2:2" s="356" customFormat="1">
      <c r="B120" s="702"/>
    </row>
    <row r="121" spans="2:2" s="356" customFormat="1">
      <c r="B121" s="702"/>
    </row>
    <row r="122" spans="2:2" s="356" customFormat="1">
      <c r="B122" s="702"/>
    </row>
    <row r="123" spans="2:2" s="356" customFormat="1">
      <c r="B123" s="702"/>
    </row>
    <row r="124" spans="2:2" s="356" customFormat="1">
      <c r="B124" s="702"/>
    </row>
    <row r="125" spans="2:2" s="356" customFormat="1">
      <c r="B125" s="702"/>
    </row>
    <row r="126" spans="2:2" s="356" customFormat="1">
      <c r="B126" s="702"/>
    </row>
    <row r="127" spans="2:2" s="356" customFormat="1">
      <c r="B127" s="702"/>
    </row>
    <row r="128" spans="2:2" s="356" customFormat="1">
      <c r="B128" s="702"/>
    </row>
    <row r="129" spans="2:2" s="356" customFormat="1">
      <c r="B129" s="702"/>
    </row>
    <row r="130" spans="2:2" s="356" customFormat="1">
      <c r="B130" s="702"/>
    </row>
    <row r="131" spans="2:2" s="356" customFormat="1">
      <c r="B131" s="702"/>
    </row>
    <row r="132" spans="2:2" s="356" customFormat="1">
      <c r="B132" s="702"/>
    </row>
    <row r="133" spans="2:2" s="356" customFormat="1">
      <c r="B133" s="702"/>
    </row>
    <row r="134" spans="2:2" s="356" customFormat="1">
      <c r="B134" s="702"/>
    </row>
    <row r="135" spans="2:2" s="356" customFormat="1">
      <c r="B135" s="702"/>
    </row>
    <row r="136" spans="2:2" s="356" customFormat="1">
      <c r="B136" s="702"/>
    </row>
    <row r="137" spans="2:2" s="356" customFormat="1">
      <c r="B137" s="702"/>
    </row>
    <row r="138" spans="2:2" s="356" customFormat="1">
      <c r="B138" s="702"/>
    </row>
    <row r="139" spans="2:2" s="356" customFormat="1">
      <c r="B139" s="702"/>
    </row>
    <row r="140" spans="2:2" s="356" customFormat="1">
      <c r="B140" s="702"/>
    </row>
    <row r="141" spans="2:2" s="356" customFormat="1">
      <c r="B141" s="702"/>
    </row>
    <row r="142" spans="2:2" s="356" customFormat="1">
      <c r="B142" s="702"/>
    </row>
    <row r="143" spans="2:2" s="356" customFormat="1">
      <c r="B143" s="702"/>
    </row>
    <row r="144" spans="2:2" s="356" customFormat="1">
      <c r="B144" s="702"/>
    </row>
    <row r="145" spans="2:2" s="356" customFormat="1">
      <c r="B145" s="702"/>
    </row>
    <row r="146" spans="2:2" s="356" customFormat="1">
      <c r="B146" s="702"/>
    </row>
    <row r="147" spans="2:2" s="356" customFormat="1">
      <c r="B147" s="702"/>
    </row>
    <row r="148" spans="2:2" s="356" customFormat="1">
      <c r="B148" s="702"/>
    </row>
    <row r="149" spans="2:2" s="356" customFormat="1">
      <c r="B149" s="702"/>
    </row>
    <row r="150" spans="2:2" s="356" customFormat="1">
      <c r="B150" s="702"/>
    </row>
    <row r="151" spans="2:2" s="356" customFormat="1">
      <c r="B151" s="702"/>
    </row>
    <row r="152" spans="2:2" s="356" customFormat="1">
      <c r="B152" s="702"/>
    </row>
    <row r="153" spans="2:2" s="356" customFormat="1">
      <c r="B153" s="702"/>
    </row>
    <row r="154" spans="2:2" s="356" customFormat="1">
      <c r="B154" s="702"/>
    </row>
    <row r="155" spans="2:2" s="356" customFormat="1">
      <c r="B155" s="702"/>
    </row>
    <row r="156" spans="2:2" s="356" customFormat="1">
      <c r="B156" s="702"/>
    </row>
    <row r="157" spans="2:2" s="356" customFormat="1">
      <c r="B157" s="702"/>
    </row>
    <row r="158" spans="2:2" s="356" customFormat="1">
      <c r="B158" s="702"/>
    </row>
    <row r="159" spans="2:2" s="356" customFormat="1">
      <c r="B159" s="702"/>
    </row>
    <row r="160" spans="2:2" s="356" customFormat="1">
      <c r="B160" s="702"/>
    </row>
    <row r="161" spans="2:2" s="356" customFormat="1">
      <c r="B161" s="702"/>
    </row>
    <row r="162" spans="2:2" s="356" customFormat="1">
      <c r="B162" s="702"/>
    </row>
    <row r="163" spans="2:2" s="356" customFormat="1">
      <c r="B163" s="702"/>
    </row>
    <row r="164" spans="2:2" s="356" customFormat="1">
      <c r="B164" s="702"/>
    </row>
    <row r="165" spans="2:2" s="356" customFormat="1">
      <c r="B165" s="702"/>
    </row>
    <row r="166" spans="2:2" s="356" customFormat="1">
      <c r="B166" s="702"/>
    </row>
    <row r="167" spans="2:2" s="356" customFormat="1">
      <c r="B167" s="702"/>
    </row>
    <row r="168" spans="2:2" s="356" customFormat="1">
      <c r="B168" s="702"/>
    </row>
    <row r="169" spans="2:2" s="356" customFormat="1">
      <c r="B169" s="702"/>
    </row>
    <row r="170" spans="2:2" s="356" customFormat="1">
      <c r="B170" s="702"/>
    </row>
    <row r="171" spans="2:2" s="356" customFormat="1">
      <c r="B171" s="702"/>
    </row>
    <row r="172" spans="2:2" s="356" customFormat="1">
      <c r="B172" s="702"/>
    </row>
    <row r="173" spans="2:2" s="356" customFormat="1">
      <c r="B173" s="702"/>
    </row>
    <row r="174" spans="2:2" s="356" customFormat="1">
      <c r="B174" s="702"/>
    </row>
    <row r="175" spans="2:2" s="356" customFormat="1">
      <c r="B175" s="702"/>
    </row>
    <row r="176" spans="2:2" s="356" customFormat="1">
      <c r="B176" s="702"/>
    </row>
    <row r="177" spans="2:2" s="356" customFormat="1">
      <c r="B177" s="702"/>
    </row>
    <row r="178" spans="2:2" s="356" customFormat="1">
      <c r="B178" s="702"/>
    </row>
    <row r="179" spans="2:2" s="356" customFormat="1">
      <c r="B179" s="702"/>
    </row>
    <row r="180" spans="2:2" s="356" customFormat="1">
      <c r="B180" s="702"/>
    </row>
    <row r="181" spans="2:2" s="356" customFormat="1">
      <c r="B181" s="702"/>
    </row>
    <row r="182" spans="2:2" s="356" customFormat="1">
      <c r="B182" s="702"/>
    </row>
    <row r="183" spans="2:2" s="356" customFormat="1">
      <c r="B183" s="702"/>
    </row>
    <row r="184" spans="2:2" s="356" customFormat="1">
      <c r="B184" s="702"/>
    </row>
    <row r="185" spans="2:2" s="356" customFormat="1">
      <c r="B185" s="702"/>
    </row>
    <row r="186" spans="2:2" s="356" customFormat="1">
      <c r="B186" s="702"/>
    </row>
    <row r="187" spans="2:2" s="356" customFormat="1">
      <c r="B187" s="702"/>
    </row>
    <row r="188" spans="2:2" s="356" customFormat="1">
      <c r="B188" s="702"/>
    </row>
    <row r="189" spans="2:2" s="356" customFormat="1">
      <c r="B189" s="702"/>
    </row>
    <row r="190" spans="2:2" s="356" customFormat="1">
      <c r="B190" s="702"/>
    </row>
    <row r="191" spans="2:2" s="356" customFormat="1">
      <c r="B191" s="702"/>
    </row>
    <row r="192" spans="2:2" s="356" customFormat="1">
      <c r="B192" s="702"/>
    </row>
    <row r="193" spans="2:2" s="356" customFormat="1">
      <c r="B193" s="702"/>
    </row>
    <row r="194" spans="2:2" s="356" customFormat="1">
      <c r="B194" s="702"/>
    </row>
    <row r="195" spans="2:2" s="356" customFormat="1">
      <c r="B195" s="702"/>
    </row>
    <row r="196" spans="2:2" s="356" customFormat="1">
      <c r="B196" s="702"/>
    </row>
    <row r="197" spans="2:2" s="356" customFormat="1">
      <c r="B197" s="702"/>
    </row>
    <row r="198" spans="2:2" s="356" customFormat="1">
      <c r="B198" s="702"/>
    </row>
    <row r="199" spans="2:2" s="356" customFormat="1">
      <c r="B199" s="702"/>
    </row>
    <row r="200" spans="2:2" s="356" customFormat="1">
      <c r="B200" s="702"/>
    </row>
    <row r="201" spans="2:2" s="356" customFormat="1">
      <c r="B201" s="702"/>
    </row>
    <row r="202" spans="2:2" s="356" customFormat="1">
      <c r="B202" s="702"/>
    </row>
    <row r="203" spans="2:2" s="356" customFormat="1">
      <c r="B203" s="702"/>
    </row>
    <row r="204" spans="2:2" s="356" customFormat="1">
      <c r="B204" s="702"/>
    </row>
    <row r="205" spans="2:2" s="356" customFormat="1">
      <c r="B205" s="702"/>
    </row>
    <row r="206" spans="2:2" s="356" customFormat="1">
      <c r="B206" s="702"/>
    </row>
    <row r="207" spans="2:2" s="356" customFormat="1">
      <c r="B207" s="702"/>
    </row>
    <row r="208" spans="2:2" s="356" customFormat="1">
      <c r="B208" s="702"/>
    </row>
    <row r="209" spans="2:2" s="356" customFormat="1">
      <c r="B209" s="702"/>
    </row>
    <row r="210" spans="2:2" s="356" customFormat="1">
      <c r="B210" s="702"/>
    </row>
    <row r="211" spans="2:2" s="356" customFormat="1">
      <c r="B211" s="702"/>
    </row>
    <row r="212" spans="2:2" s="356" customFormat="1">
      <c r="B212" s="702"/>
    </row>
    <row r="213" spans="2:2" s="356" customFormat="1">
      <c r="B213" s="702"/>
    </row>
    <row r="214" spans="2:2" s="356" customFormat="1">
      <c r="B214" s="702"/>
    </row>
    <row r="215" spans="2:2" s="356" customFormat="1">
      <c r="B215" s="702"/>
    </row>
    <row r="216" spans="2:2" s="356" customFormat="1">
      <c r="B216" s="702"/>
    </row>
    <row r="217" spans="2:2" s="356" customFormat="1">
      <c r="B217" s="702"/>
    </row>
    <row r="218" spans="2:2" s="356" customFormat="1">
      <c r="B218" s="702"/>
    </row>
    <row r="219" spans="2:2" s="356" customFormat="1">
      <c r="B219" s="702"/>
    </row>
    <row r="220" spans="2:2" s="356" customFormat="1">
      <c r="B220" s="702"/>
    </row>
    <row r="221" spans="2:2" s="356" customFormat="1">
      <c r="B221" s="702"/>
    </row>
    <row r="222" spans="2:2" s="356" customFormat="1">
      <c r="B222" s="702"/>
    </row>
    <row r="223" spans="2:2" s="356" customFormat="1">
      <c r="B223" s="702"/>
    </row>
    <row r="224" spans="2:2" s="356" customFormat="1">
      <c r="B224" s="702"/>
    </row>
    <row r="225" spans="2:2" s="356" customFormat="1">
      <c r="B225" s="702"/>
    </row>
    <row r="226" spans="2:2" s="356" customFormat="1">
      <c r="B226" s="702"/>
    </row>
    <row r="227" spans="2:2" s="356" customFormat="1">
      <c r="B227" s="702"/>
    </row>
    <row r="228" spans="2:2" s="356" customFormat="1">
      <c r="B228" s="702"/>
    </row>
    <row r="229" spans="2:2" s="356" customFormat="1">
      <c r="B229" s="702"/>
    </row>
    <row r="230" spans="2:2" s="356" customFormat="1">
      <c r="B230" s="702"/>
    </row>
    <row r="231" spans="2:2" s="356" customFormat="1">
      <c r="B231" s="702"/>
    </row>
    <row r="232" spans="2:2" s="356" customFormat="1">
      <c r="B232" s="702"/>
    </row>
    <row r="233" spans="2:2" s="356" customFormat="1">
      <c r="B233" s="702"/>
    </row>
    <row r="234" spans="2:2" s="356" customFormat="1">
      <c r="B234" s="702"/>
    </row>
    <row r="235" spans="2:2" s="356" customFormat="1">
      <c r="B235" s="702"/>
    </row>
    <row r="236" spans="2:2" s="356" customFormat="1">
      <c r="B236" s="702"/>
    </row>
    <row r="237" spans="2:2" s="356" customFormat="1">
      <c r="B237" s="702"/>
    </row>
    <row r="238" spans="2:2" s="356" customFormat="1">
      <c r="B238" s="702"/>
    </row>
    <row r="239" spans="2:2" s="356" customFormat="1">
      <c r="B239" s="702"/>
    </row>
    <row r="240" spans="2:2" s="356" customFormat="1">
      <c r="B240" s="702"/>
    </row>
    <row r="241" spans="2:2" s="356" customFormat="1">
      <c r="B241" s="702"/>
    </row>
    <row r="242" spans="2:2" s="356" customFormat="1">
      <c r="B242" s="702"/>
    </row>
    <row r="243" spans="2:2" s="356" customFormat="1">
      <c r="B243" s="702"/>
    </row>
    <row r="244" spans="2:2" s="356" customFormat="1">
      <c r="B244" s="702"/>
    </row>
    <row r="245" spans="2:2" s="356" customFormat="1">
      <c r="B245" s="702"/>
    </row>
    <row r="246" spans="2:2" s="356" customFormat="1">
      <c r="B246" s="702"/>
    </row>
    <row r="247" spans="2:2" s="356" customFormat="1">
      <c r="B247" s="702"/>
    </row>
    <row r="248" spans="2:2" s="356" customFormat="1">
      <c r="B248" s="702"/>
    </row>
    <row r="249" spans="2:2" s="356" customFormat="1">
      <c r="B249" s="702"/>
    </row>
    <row r="250" spans="2:2" s="356" customFormat="1">
      <c r="B250" s="702"/>
    </row>
    <row r="251" spans="2:2" s="356" customFormat="1">
      <c r="B251" s="702"/>
    </row>
    <row r="252" spans="2:2" s="356" customFormat="1">
      <c r="B252" s="702"/>
    </row>
    <row r="253" spans="2:2" s="356" customFormat="1">
      <c r="B253" s="702"/>
    </row>
    <row r="254" spans="2:2" s="356" customFormat="1">
      <c r="B254" s="702"/>
    </row>
    <row r="255" spans="2:2" s="356" customFormat="1">
      <c r="B255" s="702"/>
    </row>
    <row r="256" spans="2:2" s="356" customFormat="1">
      <c r="B256" s="702"/>
    </row>
    <row r="257" spans="2:2" s="356" customFormat="1">
      <c r="B257" s="702"/>
    </row>
    <row r="258" spans="2:2" s="356" customFormat="1">
      <c r="B258" s="702"/>
    </row>
    <row r="259" spans="2:2" s="356" customFormat="1">
      <c r="B259" s="702"/>
    </row>
    <row r="260" spans="2:2" s="356" customFormat="1">
      <c r="B260" s="702"/>
    </row>
    <row r="261" spans="2:2" s="356" customFormat="1">
      <c r="B261" s="702"/>
    </row>
    <row r="262" spans="2:2" s="356" customFormat="1">
      <c r="B262" s="702"/>
    </row>
    <row r="263" spans="2:2" s="356" customFormat="1">
      <c r="B263" s="702"/>
    </row>
    <row r="264" spans="2:2" s="356" customFormat="1">
      <c r="B264" s="702"/>
    </row>
    <row r="265" spans="2:2" s="356" customFormat="1">
      <c r="B265" s="702"/>
    </row>
    <row r="266" spans="2:2" s="356" customFormat="1">
      <c r="B266" s="702"/>
    </row>
    <row r="267" spans="2:2" s="356" customFormat="1">
      <c r="B267" s="702"/>
    </row>
    <row r="268" spans="2:2" s="356" customFormat="1">
      <c r="B268" s="702"/>
    </row>
    <row r="269" spans="2:2" s="356" customFormat="1">
      <c r="B269" s="702"/>
    </row>
    <row r="270" spans="2:2" s="356" customFormat="1">
      <c r="B270" s="702"/>
    </row>
    <row r="271" spans="2:2" s="356" customFormat="1">
      <c r="B271" s="702"/>
    </row>
    <row r="272" spans="2:2" s="356" customFormat="1">
      <c r="B272" s="702"/>
    </row>
    <row r="273" spans="2:2" s="356" customFormat="1">
      <c r="B273" s="702"/>
    </row>
    <row r="274" spans="2:2" s="356" customFormat="1">
      <c r="B274" s="702"/>
    </row>
    <row r="275" spans="2:2" s="356" customFormat="1">
      <c r="B275" s="702"/>
    </row>
    <row r="276" spans="2:2" s="356" customFormat="1">
      <c r="B276" s="702"/>
    </row>
    <row r="277" spans="2:2" s="356" customFormat="1">
      <c r="B277" s="702"/>
    </row>
    <row r="278" spans="2:2" s="356" customFormat="1">
      <c r="B278" s="702"/>
    </row>
    <row r="279" spans="2:2" s="356" customFormat="1">
      <c r="B279" s="702"/>
    </row>
    <row r="280" spans="2:2" s="356" customFormat="1">
      <c r="B280" s="702"/>
    </row>
    <row r="281" spans="2:2" s="356" customFormat="1">
      <c r="B281" s="702"/>
    </row>
    <row r="282" spans="2:2" s="356" customFormat="1">
      <c r="B282" s="702"/>
    </row>
    <row r="283" spans="2:2" s="356" customFormat="1">
      <c r="B283" s="702"/>
    </row>
    <row r="284" spans="2:2" s="356" customFormat="1">
      <c r="B284" s="702"/>
    </row>
    <row r="285" spans="2:2" s="356" customFormat="1">
      <c r="B285" s="702"/>
    </row>
    <row r="286" spans="2:2" s="356" customFormat="1">
      <c r="B286" s="702"/>
    </row>
    <row r="287" spans="2:2" s="356" customFormat="1">
      <c r="B287" s="702"/>
    </row>
    <row r="288" spans="2:2" s="356" customFormat="1">
      <c r="B288" s="702"/>
    </row>
    <row r="289" spans="2:2" s="356" customFormat="1">
      <c r="B289" s="702"/>
    </row>
    <row r="290" spans="2:2" s="356" customFormat="1">
      <c r="B290" s="702"/>
    </row>
    <row r="291" spans="2:2" s="356" customFormat="1">
      <c r="B291" s="702"/>
    </row>
    <row r="292" spans="2:2" s="356" customFormat="1">
      <c r="B292" s="702"/>
    </row>
    <row r="293" spans="2:2" s="356" customFormat="1">
      <c r="B293" s="702"/>
    </row>
    <row r="294" spans="2:2" s="356" customFormat="1">
      <c r="B294" s="702"/>
    </row>
    <row r="295" spans="2:2" s="356" customFormat="1">
      <c r="B295" s="702"/>
    </row>
    <row r="296" spans="2:2" s="356" customFormat="1">
      <c r="B296" s="702"/>
    </row>
    <row r="297" spans="2:2" s="356" customFormat="1">
      <c r="B297" s="702"/>
    </row>
    <row r="298" spans="2:2" s="356" customFormat="1">
      <c r="B298" s="702"/>
    </row>
    <row r="299" spans="2:2" s="356" customFormat="1">
      <c r="B299" s="702"/>
    </row>
    <row r="300" spans="2:2" s="356" customFormat="1">
      <c r="B300" s="702"/>
    </row>
    <row r="301" spans="2:2" s="356" customFormat="1">
      <c r="B301" s="702"/>
    </row>
    <row r="302" spans="2:2" s="356" customFormat="1">
      <c r="B302" s="702"/>
    </row>
    <row r="303" spans="2:2" s="356" customFormat="1">
      <c r="B303" s="702"/>
    </row>
    <row r="304" spans="2:2" s="356" customFormat="1">
      <c r="B304" s="702"/>
    </row>
    <row r="305" spans="2:2" s="356" customFormat="1">
      <c r="B305" s="702"/>
    </row>
    <row r="306" spans="2:2" s="356" customFormat="1">
      <c r="B306" s="702"/>
    </row>
    <row r="307" spans="2:2" s="356" customFormat="1">
      <c r="B307" s="702"/>
    </row>
    <row r="308" spans="2:2" s="356" customFormat="1">
      <c r="B308" s="702"/>
    </row>
    <row r="309" spans="2:2" s="356" customFormat="1">
      <c r="B309" s="702"/>
    </row>
    <row r="310" spans="2:2" s="356" customFormat="1">
      <c r="B310" s="702"/>
    </row>
    <row r="311" spans="2:2" s="356" customFormat="1">
      <c r="B311" s="702"/>
    </row>
    <row r="312" spans="2:2" s="356" customFormat="1">
      <c r="B312" s="702"/>
    </row>
    <row r="313" spans="2:2" s="356" customFormat="1">
      <c r="B313" s="702"/>
    </row>
    <row r="314" spans="2:2" s="356" customFormat="1">
      <c r="B314" s="702"/>
    </row>
    <row r="315" spans="2:2" s="356" customFormat="1">
      <c r="B315" s="702"/>
    </row>
    <row r="316" spans="2:2" s="356" customFormat="1">
      <c r="B316" s="702"/>
    </row>
    <row r="317" spans="2:2" s="356" customFormat="1">
      <c r="B317" s="702"/>
    </row>
    <row r="318" spans="2:2" s="356" customFormat="1">
      <c r="B318" s="702"/>
    </row>
    <row r="319" spans="2:2" s="356" customFormat="1">
      <c r="B319" s="702"/>
    </row>
    <row r="320" spans="2:2" s="356" customFormat="1">
      <c r="B320" s="702"/>
    </row>
    <row r="321" spans="2:2" s="356" customFormat="1">
      <c r="B321" s="702"/>
    </row>
    <row r="322" spans="2:2" s="356" customFormat="1">
      <c r="B322" s="702"/>
    </row>
    <row r="323" spans="2:2" s="356" customFormat="1">
      <c r="B323" s="702"/>
    </row>
    <row r="324" spans="2:2" s="356" customFormat="1">
      <c r="B324" s="702"/>
    </row>
    <row r="325" spans="2:2" s="356" customFormat="1">
      <c r="B325" s="702"/>
    </row>
    <row r="326" spans="2:2" s="356" customFormat="1">
      <c r="B326" s="702"/>
    </row>
    <row r="327" spans="2:2" s="356" customFormat="1">
      <c r="B327" s="702"/>
    </row>
    <row r="328" spans="2:2" s="356" customFormat="1">
      <c r="B328" s="702"/>
    </row>
    <row r="329" spans="2:2" s="356" customFormat="1">
      <c r="B329" s="702"/>
    </row>
    <row r="330" spans="2:2" s="356" customFormat="1">
      <c r="B330" s="702"/>
    </row>
    <row r="331" spans="2:2" s="356" customFormat="1">
      <c r="B331" s="702"/>
    </row>
    <row r="332" spans="2:2" s="356" customFormat="1">
      <c r="B332" s="702"/>
    </row>
    <row r="333" spans="2:2" s="356" customFormat="1">
      <c r="B333" s="702"/>
    </row>
    <row r="334" spans="2:2" s="356" customFormat="1">
      <c r="B334" s="702"/>
    </row>
    <row r="335" spans="2:2" s="356" customFormat="1">
      <c r="B335" s="702"/>
    </row>
    <row r="336" spans="2:2" s="356" customFormat="1">
      <c r="B336" s="702"/>
    </row>
    <row r="337" spans="2:2" s="356" customFormat="1">
      <c r="B337" s="702"/>
    </row>
    <row r="338" spans="2:2" s="356" customFormat="1">
      <c r="B338" s="702"/>
    </row>
    <row r="339" spans="2:2" s="356" customFormat="1">
      <c r="B339" s="702"/>
    </row>
    <row r="340" spans="2:2" s="356" customFormat="1">
      <c r="B340" s="702"/>
    </row>
    <row r="341" spans="2:2" s="356" customFormat="1">
      <c r="B341" s="702"/>
    </row>
    <row r="342" spans="2:2" s="356" customFormat="1">
      <c r="B342" s="702"/>
    </row>
    <row r="343" spans="2:2" s="356" customFormat="1">
      <c r="B343" s="702"/>
    </row>
    <row r="344" spans="2:2" s="356" customFormat="1">
      <c r="B344" s="702"/>
    </row>
    <row r="345" spans="2:2" s="356" customFormat="1">
      <c r="B345" s="702"/>
    </row>
    <row r="346" spans="2:2" s="356" customFormat="1">
      <c r="B346" s="702"/>
    </row>
    <row r="347" spans="2:2" s="356" customFormat="1">
      <c r="B347" s="702"/>
    </row>
    <row r="348" spans="2:2" s="356" customFormat="1">
      <c r="B348" s="702"/>
    </row>
    <row r="349" spans="2:2" s="356" customFormat="1">
      <c r="B349" s="702"/>
    </row>
    <row r="350" spans="2:2" s="356" customFormat="1">
      <c r="B350" s="702"/>
    </row>
    <row r="351" spans="2:2" s="356" customFormat="1">
      <c r="B351" s="702"/>
    </row>
    <row r="352" spans="2:2" s="356" customFormat="1">
      <c r="B352" s="702"/>
    </row>
    <row r="353" spans="2:2" s="356" customFormat="1">
      <c r="B353" s="702"/>
    </row>
    <row r="354" spans="2:2" s="356" customFormat="1">
      <c r="B354" s="702"/>
    </row>
    <row r="355" spans="2:2" s="356" customFormat="1">
      <c r="B355" s="702"/>
    </row>
    <row r="356" spans="2:2" s="356" customFormat="1">
      <c r="B356" s="702"/>
    </row>
    <row r="357" spans="2:2" s="356" customFormat="1">
      <c r="B357" s="702"/>
    </row>
    <row r="358" spans="2:2" s="356" customFormat="1">
      <c r="B358" s="702"/>
    </row>
    <row r="359" spans="2:2" s="356" customFormat="1">
      <c r="B359" s="702"/>
    </row>
    <row r="360" spans="2:2" s="356" customFormat="1">
      <c r="B360" s="702"/>
    </row>
    <row r="361" spans="2:2" s="356" customFormat="1">
      <c r="B361" s="702"/>
    </row>
    <row r="362" spans="2:2" s="356" customFormat="1">
      <c r="B362" s="702"/>
    </row>
    <row r="363" spans="2:2" s="356" customFormat="1">
      <c r="B363" s="702"/>
    </row>
    <row r="364" spans="2:2" s="356" customFormat="1">
      <c r="B364" s="702"/>
    </row>
    <row r="365" spans="2:2" s="356" customFormat="1">
      <c r="B365" s="702"/>
    </row>
    <row r="366" spans="2:2" s="356" customFormat="1">
      <c r="B366" s="702"/>
    </row>
    <row r="367" spans="2:2" s="356" customFormat="1">
      <c r="B367" s="702"/>
    </row>
    <row r="368" spans="2:2" s="356" customFormat="1">
      <c r="B368" s="702"/>
    </row>
    <row r="369" spans="2:2" s="356" customFormat="1">
      <c r="B369" s="702"/>
    </row>
    <row r="370" spans="2:2" s="356" customFormat="1">
      <c r="B370" s="702"/>
    </row>
    <row r="371" spans="2:2" s="356" customFormat="1">
      <c r="B371" s="702"/>
    </row>
    <row r="372" spans="2:2" s="356" customFormat="1">
      <c r="B372" s="702"/>
    </row>
    <row r="373" spans="2:2" s="356" customFormat="1">
      <c r="B373" s="702"/>
    </row>
    <row r="374" spans="2:2" s="356" customFormat="1">
      <c r="B374" s="702"/>
    </row>
    <row r="375" spans="2:2" s="356" customFormat="1">
      <c r="B375" s="702"/>
    </row>
    <row r="376" spans="2:2" s="356" customFormat="1">
      <c r="B376" s="702"/>
    </row>
    <row r="377" spans="2:2" s="356" customFormat="1">
      <c r="B377" s="702"/>
    </row>
    <row r="378" spans="2:2" s="356" customFormat="1">
      <c r="B378" s="702"/>
    </row>
    <row r="379" spans="2:2" s="356" customFormat="1">
      <c r="B379" s="702"/>
    </row>
    <row r="380" spans="2:2" s="356" customFormat="1">
      <c r="B380" s="702"/>
    </row>
    <row r="381" spans="2:2" s="356" customFormat="1">
      <c r="B381" s="702"/>
    </row>
    <row r="382" spans="2:2" s="356" customFormat="1">
      <c r="B382" s="702"/>
    </row>
    <row r="383" spans="2:2" s="356" customFormat="1">
      <c r="B383" s="702"/>
    </row>
    <row r="384" spans="2:2" s="356" customFormat="1">
      <c r="B384" s="702"/>
    </row>
    <row r="385" spans="2:2" s="356" customFormat="1">
      <c r="B385" s="702"/>
    </row>
    <row r="386" spans="2:2" s="356" customFormat="1">
      <c r="B386" s="702"/>
    </row>
    <row r="387" spans="2:2" s="356" customFormat="1">
      <c r="B387" s="702"/>
    </row>
    <row r="388" spans="2:2" s="356" customFormat="1">
      <c r="B388" s="702"/>
    </row>
    <row r="389" spans="2:2" s="356" customFormat="1">
      <c r="B389" s="702"/>
    </row>
    <row r="390" spans="2:2" s="356" customFormat="1">
      <c r="B390" s="702"/>
    </row>
    <row r="391" spans="2:2" s="356" customFormat="1">
      <c r="B391" s="702"/>
    </row>
    <row r="392" spans="2:2" s="356" customFormat="1">
      <c r="B392" s="702"/>
    </row>
    <row r="393" spans="2:2" s="356" customFormat="1">
      <c r="B393" s="702"/>
    </row>
    <row r="394" spans="2:2" s="356" customFormat="1">
      <c r="B394" s="702"/>
    </row>
    <row r="395" spans="2:2" s="356" customFormat="1">
      <c r="B395" s="702"/>
    </row>
    <row r="396" spans="2:2" s="356" customFormat="1">
      <c r="B396" s="702"/>
    </row>
    <row r="397" spans="2:2" s="356" customFormat="1">
      <c r="B397" s="702"/>
    </row>
    <row r="398" spans="2:2" s="356" customFormat="1">
      <c r="B398" s="702"/>
    </row>
    <row r="399" spans="2:2" s="356" customFormat="1">
      <c r="B399" s="702"/>
    </row>
    <row r="400" spans="2:2" s="356" customFormat="1">
      <c r="B400" s="702"/>
    </row>
    <row r="401" spans="2:2" s="356" customFormat="1">
      <c r="B401" s="702"/>
    </row>
    <row r="402" spans="2:2" s="356" customFormat="1">
      <c r="B402" s="702"/>
    </row>
    <row r="403" spans="2:2" s="356" customFormat="1">
      <c r="B403" s="702"/>
    </row>
    <row r="404" spans="2:2" s="356" customFormat="1">
      <c r="B404" s="702"/>
    </row>
    <row r="405" spans="2:2" s="356" customFormat="1">
      <c r="B405" s="702"/>
    </row>
    <row r="406" spans="2:2" s="356" customFormat="1">
      <c r="B406" s="702"/>
    </row>
    <row r="407" spans="2:2" s="356" customFormat="1">
      <c r="B407" s="702"/>
    </row>
    <row r="408" spans="2:2" s="356" customFormat="1">
      <c r="B408" s="702"/>
    </row>
    <row r="409" spans="2:2" s="356" customFormat="1">
      <c r="B409" s="702"/>
    </row>
    <row r="410" spans="2:2" s="356" customFormat="1">
      <c r="B410" s="702"/>
    </row>
    <row r="411" spans="2:2" s="356" customFormat="1">
      <c r="B411" s="702"/>
    </row>
    <row r="412" spans="2:2" s="356" customFormat="1">
      <c r="B412" s="702"/>
    </row>
    <row r="413" spans="2:2" s="356" customFormat="1">
      <c r="B413" s="702"/>
    </row>
    <row r="414" spans="2:2" s="356" customFormat="1">
      <c r="B414" s="702"/>
    </row>
    <row r="415" spans="2:2" s="356" customFormat="1">
      <c r="B415" s="702"/>
    </row>
    <row r="416" spans="2:2" s="356" customFormat="1">
      <c r="B416" s="702"/>
    </row>
    <row r="417" spans="2:2" s="356" customFormat="1">
      <c r="B417" s="702"/>
    </row>
    <row r="418" spans="2:2" s="356" customFormat="1">
      <c r="B418" s="702"/>
    </row>
    <row r="419" spans="2:2" s="356" customFormat="1">
      <c r="B419" s="702"/>
    </row>
    <row r="420" spans="2:2" s="356" customFormat="1">
      <c r="B420" s="702"/>
    </row>
    <row r="421" spans="2:2" s="356" customFormat="1">
      <c r="B421" s="702"/>
    </row>
    <row r="422" spans="2:2" s="356" customFormat="1">
      <c r="B422" s="702"/>
    </row>
    <row r="423" spans="2:2" s="356" customFormat="1">
      <c r="B423" s="702"/>
    </row>
    <row r="424" spans="2:2" s="356" customFormat="1">
      <c r="B424" s="702"/>
    </row>
    <row r="425" spans="2:2" s="356" customFormat="1">
      <c r="B425" s="702"/>
    </row>
    <row r="426" spans="2:2" s="356" customFormat="1">
      <c r="B426" s="702"/>
    </row>
    <row r="427" spans="2:2" s="356" customFormat="1">
      <c r="B427" s="702"/>
    </row>
    <row r="428" spans="2:2" s="356" customFormat="1">
      <c r="B428" s="702"/>
    </row>
    <row r="429" spans="2:2" s="356" customFormat="1">
      <c r="B429" s="702"/>
    </row>
    <row r="430" spans="2:2" s="356" customFormat="1">
      <c r="B430" s="702"/>
    </row>
    <row r="431" spans="2:2" s="356" customFormat="1">
      <c r="B431" s="702"/>
    </row>
    <row r="432" spans="2:2" s="356" customFormat="1">
      <c r="B432" s="702"/>
    </row>
    <row r="433" spans="2:2" s="356" customFormat="1">
      <c r="B433" s="702"/>
    </row>
    <row r="434" spans="2:2" s="356" customFormat="1">
      <c r="B434" s="702"/>
    </row>
    <row r="435" spans="2:2" s="356" customFormat="1">
      <c r="B435" s="702"/>
    </row>
    <row r="436" spans="2:2" s="356" customFormat="1">
      <c r="B436" s="702"/>
    </row>
    <row r="437" spans="2:2" s="356" customFormat="1">
      <c r="B437" s="702"/>
    </row>
    <row r="438" spans="2:2" s="356" customFormat="1">
      <c r="B438" s="702"/>
    </row>
    <row r="439" spans="2:2" s="356" customFormat="1">
      <c r="B439" s="702"/>
    </row>
    <row r="440" spans="2:2" s="356" customFormat="1">
      <c r="B440" s="702"/>
    </row>
    <row r="441" spans="2:2" s="356" customFormat="1">
      <c r="B441" s="702"/>
    </row>
    <row r="442" spans="2:2" s="356" customFormat="1">
      <c r="B442" s="702"/>
    </row>
    <row r="443" spans="2:2" s="356" customFormat="1">
      <c r="B443" s="702"/>
    </row>
    <row r="444" spans="2:2" s="356" customFormat="1">
      <c r="B444" s="702"/>
    </row>
    <row r="445" spans="2:2" s="356" customFormat="1">
      <c r="B445" s="702"/>
    </row>
    <row r="446" spans="2:2" s="356" customFormat="1">
      <c r="B446" s="702"/>
    </row>
    <row r="447" spans="2:2" s="356" customFormat="1">
      <c r="B447" s="702"/>
    </row>
    <row r="448" spans="2:2" s="356" customFormat="1">
      <c r="B448" s="702"/>
    </row>
    <row r="449" spans="2:2" s="356" customFormat="1">
      <c r="B449" s="702"/>
    </row>
    <row r="450" spans="2:2" s="356" customFormat="1">
      <c r="B450" s="702"/>
    </row>
    <row r="451" spans="2:2" s="356" customFormat="1">
      <c r="B451" s="702"/>
    </row>
    <row r="452" spans="2:2" s="356" customFormat="1">
      <c r="B452" s="702"/>
    </row>
    <row r="453" spans="2:2" s="356" customFormat="1">
      <c r="B453" s="702"/>
    </row>
    <row r="454" spans="2:2" s="356" customFormat="1">
      <c r="B454" s="702"/>
    </row>
    <row r="455" spans="2:2" s="356" customFormat="1">
      <c r="B455" s="702"/>
    </row>
    <row r="456" spans="2:2" s="356" customFormat="1">
      <c r="B456" s="702"/>
    </row>
    <row r="457" spans="2:2" s="356" customFormat="1">
      <c r="B457" s="702"/>
    </row>
    <row r="458" spans="2:2" s="356" customFormat="1">
      <c r="B458" s="702"/>
    </row>
    <row r="459" spans="2:2" s="356" customFormat="1">
      <c r="B459" s="702"/>
    </row>
    <row r="460" spans="2:2" s="356" customFormat="1">
      <c r="B460" s="702"/>
    </row>
    <row r="461" spans="2:2" s="356" customFormat="1">
      <c r="B461" s="702"/>
    </row>
    <row r="462" spans="2:2" s="356" customFormat="1">
      <c r="B462" s="702"/>
    </row>
    <row r="463" spans="2:2" s="356" customFormat="1">
      <c r="B463" s="702"/>
    </row>
    <row r="464" spans="2:2" s="356" customFormat="1">
      <c r="B464" s="702"/>
    </row>
    <row r="465" spans="2:2" s="356" customFormat="1">
      <c r="B465" s="702"/>
    </row>
    <row r="466" spans="2:2" s="356" customFormat="1">
      <c r="B466" s="702"/>
    </row>
    <row r="467" spans="2:2" s="356" customFormat="1">
      <c r="B467" s="702"/>
    </row>
    <row r="468" spans="2:2" s="356" customFormat="1">
      <c r="B468" s="702"/>
    </row>
    <row r="469" spans="2:2" s="356" customFormat="1">
      <c r="B469" s="702"/>
    </row>
    <row r="470" spans="2:2" s="356" customFormat="1">
      <c r="B470" s="702"/>
    </row>
    <row r="471" spans="2:2" s="356" customFormat="1">
      <c r="B471" s="702"/>
    </row>
    <row r="472" spans="2:2" s="356" customFormat="1">
      <c r="B472" s="702"/>
    </row>
    <row r="473" spans="2:2" s="356" customFormat="1">
      <c r="B473" s="702"/>
    </row>
    <row r="474" spans="2:2" s="356" customFormat="1">
      <c r="B474" s="702"/>
    </row>
    <row r="475" spans="2:2" s="356" customFormat="1">
      <c r="B475" s="702"/>
    </row>
    <row r="476" spans="2:2" s="356" customFormat="1">
      <c r="B476" s="702"/>
    </row>
    <row r="477" spans="2:2" s="356" customFormat="1">
      <c r="B477" s="702"/>
    </row>
    <row r="478" spans="2:2" s="356" customFormat="1">
      <c r="B478" s="702"/>
    </row>
    <row r="479" spans="2:2" s="356" customFormat="1">
      <c r="B479" s="702"/>
    </row>
    <row r="480" spans="2:2" s="356" customFormat="1">
      <c r="B480" s="702"/>
    </row>
    <row r="481" spans="2:2" s="356" customFormat="1">
      <c r="B481" s="702"/>
    </row>
    <row r="482" spans="2:2" s="356" customFormat="1">
      <c r="B482" s="702"/>
    </row>
    <row r="483" spans="2:2" s="356" customFormat="1">
      <c r="B483" s="702"/>
    </row>
    <row r="484" spans="2:2" s="356" customFormat="1">
      <c r="B484" s="702"/>
    </row>
    <row r="485" spans="2:2" s="356" customFormat="1">
      <c r="B485" s="702"/>
    </row>
    <row r="486" spans="2:2" s="356" customFormat="1">
      <c r="B486" s="702"/>
    </row>
    <row r="487" spans="2:2" s="356" customFormat="1">
      <c r="B487" s="702"/>
    </row>
    <row r="488" spans="2:2" s="356" customFormat="1">
      <c r="B488" s="702"/>
    </row>
    <row r="489" spans="2:2" s="356" customFormat="1">
      <c r="B489" s="702"/>
    </row>
    <row r="490" spans="2:2" s="356" customFormat="1">
      <c r="B490" s="702"/>
    </row>
    <row r="491" spans="2:2" s="356" customFormat="1">
      <c r="B491" s="702"/>
    </row>
    <row r="492" spans="2:2" s="356" customFormat="1">
      <c r="B492" s="702"/>
    </row>
    <row r="493" spans="2:2" s="356" customFormat="1">
      <c r="B493" s="702"/>
    </row>
    <row r="494" spans="2:2" s="356" customFormat="1">
      <c r="B494" s="702"/>
    </row>
    <row r="495" spans="2:2" s="356" customFormat="1">
      <c r="B495" s="702"/>
    </row>
    <row r="496" spans="2:2" s="356" customFormat="1">
      <c r="B496" s="702"/>
    </row>
    <row r="497" spans="2:2" s="356" customFormat="1">
      <c r="B497" s="702"/>
    </row>
    <row r="498" spans="2:2" s="356" customFormat="1">
      <c r="B498" s="702"/>
    </row>
    <row r="499" spans="2:2" s="356" customFormat="1">
      <c r="B499" s="702"/>
    </row>
    <row r="500" spans="2:2" s="356" customFormat="1">
      <c r="B500" s="702"/>
    </row>
    <row r="501" spans="2:2" s="356" customFormat="1">
      <c r="B501" s="702"/>
    </row>
    <row r="502" spans="2:2" s="356" customFormat="1">
      <c r="B502" s="702"/>
    </row>
    <row r="503" spans="2:2" s="356" customFormat="1">
      <c r="B503" s="702"/>
    </row>
    <row r="504" spans="2:2" s="356" customFormat="1">
      <c r="B504" s="702"/>
    </row>
    <row r="505" spans="2:2" s="356" customFormat="1">
      <c r="B505" s="702"/>
    </row>
    <row r="506" spans="2:2" s="356" customFormat="1">
      <c r="B506" s="702"/>
    </row>
    <row r="507" spans="2:2" s="356" customFormat="1">
      <c r="B507" s="702"/>
    </row>
    <row r="508" spans="2:2" s="356" customFormat="1">
      <c r="B508" s="702"/>
    </row>
    <row r="509" spans="2:2" s="356" customFormat="1">
      <c r="B509" s="702"/>
    </row>
    <row r="510" spans="2:2" s="356" customFormat="1">
      <c r="B510" s="702"/>
    </row>
    <row r="511" spans="2:2" s="356" customFormat="1">
      <c r="B511" s="702"/>
    </row>
    <row r="512" spans="2:2" s="356" customFormat="1">
      <c r="B512" s="702"/>
    </row>
    <row r="513" spans="2:2" s="356" customFormat="1">
      <c r="B513" s="702"/>
    </row>
    <row r="514" spans="2:2" s="356" customFormat="1">
      <c r="B514" s="702"/>
    </row>
    <row r="515" spans="2:2" s="356" customFormat="1">
      <c r="B515" s="702"/>
    </row>
    <row r="516" spans="2:2" s="356" customFormat="1">
      <c r="B516" s="702"/>
    </row>
    <row r="517" spans="2:2" s="356" customFormat="1">
      <c r="B517" s="702"/>
    </row>
    <row r="518" spans="2:2" s="356" customFormat="1">
      <c r="B518" s="702"/>
    </row>
    <row r="519" spans="2:2" s="356" customFormat="1">
      <c r="B519" s="702"/>
    </row>
    <row r="520" spans="2:2" s="356" customFormat="1">
      <c r="B520" s="702"/>
    </row>
    <row r="521" spans="2:2" s="356" customFormat="1">
      <c r="B521" s="702"/>
    </row>
    <row r="522" spans="2:2" s="356" customFormat="1">
      <c r="B522" s="702"/>
    </row>
    <row r="523" spans="2:2" s="356" customFormat="1">
      <c r="B523" s="702"/>
    </row>
    <row r="524" spans="2:2" s="356" customFormat="1">
      <c r="B524" s="702"/>
    </row>
    <row r="525" spans="2:2" s="356" customFormat="1">
      <c r="B525" s="702"/>
    </row>
    <row r="526" spans="2:2" s="356" customFormat="1">
      <c r="B526" s="702"/>
    </row>
    <row r="527" spans="2:2" s="356" customFormat="1">
      <c r="B527" s="702"/>
    </row>
    <row r="528" spans="2:2" s="356" customFormat="1">
      <c r="B528" s="702"/>
    </row>
    <row r="529" spans="2:2" s="356" customFormat="1">
      <c r="B529" s="702"/>
    </row>
    <row r="530" spans="2:2" s="356" customFormat="1">
      <c r="B530" s="702"/>
    </row>
    <row r="531" spans="2:2" s="356" customFormat="1">
      <c r="B531" s="702"/>
    </row>
    <row r="532" spans="2:2" s="356" customFormat="1">
      <c r="B532" s="702"/>
    </row>
    <row r="533" spans="2:2" s="356" customFormat="1">
      <c r="B533" s="702"/>
    </row>
    <row r="534" spans="2:2" s="356" customFormat="1">
      <c r="B534" s="702"/>
    </row>
    <row r="535" spans="2:2" s="356" customFormat="1">
      <c r="B535" s="702"/>
    </row>
    <row r="536" spans="2:2" s="356" customFormat="1">
      <c r="B536" s="702"/>
    </row>
    <row r="537" spans="2:2" s="356" customFormat="1">
      <c r="B537" s="702"/>
    </row>
    <row r="538" spans="2:2" s="356" customFormat="1">
      <c r="B538" s="702"/>
    </row>
    <row r="539" spans="2:2" s="356" customFormat="1">
      <c r="B539" s="702"/>
    </row>
    <row r="540" spans="2:2" s="356" customFormat="1">
      <c r="B540" s="702"/>
    </row>
    <row r="541" spans="2:2" s="356" customFormat="1">
      <c r="B541" s="702"/>
    </row>
    <row r="542" spans="2:2" s="356" customFormat="1">
      <c r="B542" s="702"/>
    </row>
    <row r="543" spans="2:2" s="356" customFormat="1">
      <c r="B543" s="702"/>
    </row>
    <row r="544" spans="2:2" s="356" customFormat="1">
      <c r="B544" s="702"/>
    </row>
    <row r="545" spans="2:2" s="356" customFormat="1">
      <c r="B545" s="702"/>
    </row>
    <row r="546" spans="2:2" s="356" customFormat="1">
      <c r="B546" s="702"/>
    </row>
    <row r="547" spans="2:2" s="356" customFormat="1">
      <c r="B547" s="702"/>
    </row>
    <row r="548" spans="2:2" s="356" customFormat="1">
      <c r="B548" s="702"/>
    </row>
    <row r="549" spans="2:2" s="356" customFormat="1">
      <c r="B549" s="702"/>
    </row>
    <row r="550" spans="2:2" s="356" customFormat="1">
      <c r="B550" s="702"/>
    </row>
    <row r="551" spans="2:2" s="356" customFormat="1">
      <c r="B551" s="702"/>
    </row>
    <row r="552" spans="2:2" s="356" customFormat="1">
      <c r="B552" s="702"/>
    </row>
    <row r="553" spans="2:2" s="356" customFormat="1">
      <c r="B553" s="702"/>
    </row>
    <row r="554" spans="2:2" s="356" customFormat="1">
      <c r="B554" s="702"/>
    </row>
    <row r="555" spans="2:2" s="356" customFormat="1">
      <c r="B555" s="702"/>
    </row>
    <row r="556" spans="2:2" s="356" customFormat="1">
      <c r="B556" s="702"/>
    </row>
    <row r="557" spans="2:2" s="356" customFormat="1">
      <c r="B557" s="702"/>
    </row>
    <row r="558" spans="2:2" s="356" customFormat="1">
      <c r="B558" s="702"/>
    </row>
    <row r="559" spans="2:2" s="356" customFormat="1">
      <c r="B559" s="702"/>
    </row>
    <row r="560" spans="2:2" s="356" customFormat="1">
      <c r="B560" s="702"/>
    </row>
    <row r="561" spans="2:2" s="356" customFormat="1">
      <c r="B561" s="702"/>
    </row>
    <row r="562" spans="2:2" s="356" customFormat="1">
      <c r="B562" s="702"/>
    </row>
    <row r="563" spans="2:2" s="356" customFormat="1">
      <c r="B563" s="702"/>
    </row>
    <row r="564" spans="2:2" s="356" customFormat="1">
      <c r="B564" s="702"/>
    </row>
    <row r="565" spans="2:2" s="356" customFormat="1">
      <c r="B565" s="702"/>
    </row>
    <row r="566" spans="2:2" s="356" customFormat="1">
      <c r="B566" s="702"/>
    </row>
    <row r="567" spans="2:2" s="356" customFormat="1">
      <c r="B567" s="702"/>
    </row>
    <row r="568" spans="2:2" s="356" customFormat="1">
      <c r="B568" s="702"/>
    </row>
    <row r="569" spans="2:2" s="356" customFormat="1">
      <c r="B569" s="702"/>
    </row>
    <row r="570" spans="2:2" s="356" customFormat="1">
      <c r="B570" s="702"/>
    </row>
    <row r="571" spans="2:2" s="356" customFormat="1">
      <c r="B571" s="702"/>
    </row>
    <row r="572" spans="2:2" s="356" customFormat="1">
      <c r="B572" s="702"/>
    </row>
    <row r="573" spans="2:2" s="356" customFormat="1">
      <c r="B573" s="702"/>
    </row>
    <row r="574" spans="2:2" s="356" customFormat="1">
      <c r="B574" s="702"/>
    </row>
    <row r="575" spans="2:2" s="356" customFormat="1">
      <c r="B575" s="702"/>
    </row>
    <row r="576" spans="2:2" s="356" customFormat="1">
      <c r="B576" s="702"/>
    </row>
    <row r="577" spans="2:2" s="356" customFormat="1">
      <c r="B577" s="702"/>
    </row>
    <row r="578" spans="2:2" s="356" customFormat="1">
      <c r="B578" s="702"/>
    </row>
    <row r="579" spans="2:2" s="356" customFormat="1">
      <c r="B579" s="702"/>
    </row>
    <row r="580" spans="2:2" s="356" customFormat="1">
      <c r="B580" s="702"/>
    </row>
    <row r="581" spans="2:2" s="356" customFormat="1">
      <c r="B581" s="702"/>
    </row>
    <row r="582" spans="2:2" s="356" customFormat="1">
      <c r="B582" s="702"/>
    </row>
    <row r="583" spans="2:2" s="356" customFormat="1">
      <c r="B583" s="702"/>
    </row>
    <row r="584" spans="2:2" s="356" customFormat="1">
      <c r="B584" s="702"/>
    </row>
    <row r="585" spans="2:2" s="356" customFormat="1">
      <c r="B585" s="702"/>
    </row>
    <row r="586" spans="2:2" s="356" customFormat="1">
      <c r="B586" s="702"/>
    </row>
    <row r="587" spans="2:2" s="356" customFormat="1">
      <c r="B587" s="702"/>
    </row>
    <row r="588" spans="2:2" s="356" customFormat="1">
      <c r="B588" s="702"/>
    </row>
    <row r="589" spans="2:2" s="356" customFormat="1">
      <c r="B589" s="702"/>
    </row>
    <row r="590" spans="2:2" s="356" customFormat="1">
      <c r="B590" s="702"/>
    </row>
    <row r="591" spans="2:2" s="356" customFormat="1">
      <c r="B591" s="702"/>
    </row>
    <row r="592" spans="2:2" s="356" customFormat="1">
      <c r="B592" s="702"/>
    </row>
    <row r="593" spans="2:2" s="356" customFormat="1">
      <c r="B593" s="702"/>
    </row>
    <row r="594" spans="2:2" s="356" customFormat="1">
      <c r="B594" s="702"/>
    </row>
    <row r="595" spans="2:2" s="356" customFormat="1">
      <c r="B595" s="702"/>
    </row>
  </sheetData>
  <mergeCells count="29">
    <mergeCell ref="N12:S12"/>
    <mergeCell ref="O11:S11"/>
    <mergeCell ref="O46:Q46"/>
    <mergeCell ref="F17:J17"/>
    <mergeCell ref="P17:S17"/>
    <mergeCell ref="C34:J34"/>
    <mergeCell ref="O37:T37"/>
    <mergeCell ref="O38:Q38"/>
    <mergeCell ref="F15:J15"/>
    <mergeCell ref="O41:Q41"/>
    <mergeCell ref="E16:K16"/>
    <mergeCell ref="O44:Q44"/>
    <mergeCell ref="C32:J32"/>
    <mergeCell ref="M31:T36"/>
    <mergeCell ref="P18:S20"/>
    <mergeCell ref="Q29:S29"/>
    <mergeCell ref="P16:S16"/>
    <mergeCell ref="P21:S21"/>
    <mergeCell ref="P22:R22"/>
    <mergeCell ref="P23:S23"/>
    <mergeCell ref="P24:R24"/>
    <mergeCell ref="O45:Q45"/>
    <mergeCell ref="O39:Q39"/>
    <mergeCell ref="C45:J45"/>
    <mergeCell ref="C44:J44"/>
    <mergeCell ref="C33:J33"/>
    <mergeCell ref="O40:Q40"/>
    <mergeCell ref="O42:S42"/>
    <mergeCell ref="O43:Q43"/>
  </mergeCells>
  <pageMargins left="0" right="0" top="0.78740157480314965" bottom="0.78740157480314965" header="0" footer="0"/>
  <pageSetup paperSize="921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2:D39"/>
  <sheetViews>
    <sheetView topLeftCell="A13" zoomScale="124" zoomScaleNormal="124" workbookViewId="0">
      <selection activeCell="C31" sqref="C31"/>
    </sheetView>
  </sheetViews>
  <sheetFormatPr defaultRowHeight="12.75"/>
  <cols>
    <col min="1" max="1" width="1.7109375" customWidth="1"/>
    <col min="2" max="2" width="5.140625" customWidth="1"/>
    <col min="3" max="3" width="112.7109375" bestFit="1" customWidth="1"/>
    <col min="4" max="4" width="48.85546875" customWidth="1"/>
  </cols>
  <sheetData>
    <row r="2" spans="2:4" ht="18.75">
      <c r="B2" s="354" t="s">
        <v>1585</v>
      </c>
      <c r="C2" s="354"/>
      <c r="D2" s="354"/>
    </row>
    <row r="3" spans="2:4">
      <c r="B3" s="57" t="s">
        <v>1586</v>
      </c>
      <c r="C3" s="355" t="s">
        <v>1587</v>
      </c>
      <c r="D3" s="347"/>
    </row>
    <row r="4" spans="2:4">
      <c r="B4" s="57" t="s">
        <v>1588</v>
      </c>
      <c r="C4" s="355" t="s">
        <v>1722</v>
      </c>
      <c r="D4" s="347"/>
    </row>
    <row r="5" spans="2:4">
      <c r="B5" s="57" t="s">
        <v>1589</v>
      </c>
      <c r="C5" s="355" t="s">
        <v>1628</v>
      </c>
      <c r="D5" s="347"/>
    </row>
    <row r="6" spans="2:4">
      <c r="B6" s="57" t="s">
        <v>1590</v>
      </c>
      <c r="C6" s="355" t="s">
        <v>1591</v>
      </c>
      <c r="D6" s="347"/>
    </row>
    <row r="7" spans="2:4">
      <c r="B7" s="57" t="s">
        <v>1592</v>
      </c>
      <c r="C7" s="355" t="s">
        <v>1593</v>
      </c>
      <c r="D7" s="347"/>
    </row>
    <row r="8" spans="2:4">
      <c r="B8" s="57" t="s">
        <v>1594</v>
      </c>
      <c r="C8" s="355" t="s">
        <v>1595</v>
      </c>
      <c r="D8" s="347"/>
    </row>
    <row r="9" spans="2:4">
      <c r="B9" s="57" t="s">
        <v>1596</v>
      </c>
      <c r="C9" s="355" t="s">
        <v>1629</v>
      </c>
      <c r="D9" s="347"/>
    </row>
    <row r="10" spans="2:4" s="348" customFormat="1">
      <c r="B10" s="346" t="s">
        <v>1597</v>
      </c>
      <c r="C10" s="355" t="s">
        <v>1786</v>
      </c>
      <c r="D10" s="347"/>
    </row>
    <row r="11" spans="2:4" s="348" customFormat="1">
      <c r="B11" s="346" t="s">
        <v>2436</v>
      </c>
      <c r="C11" s="355" t="s">
        <v>2437</v>
      </c>
      <c r="D11" s="347"/>
    </row>
    <row r="12" spans="2:4" s="348" customFormat="1">
      <c r="B12" s="346" t="s">
        <v>1598</v>
      </c>
      <c r="C12" s="355" t="s">
        <v>1599</v>
      </c>
      <c r="D12" s="347"/>
    </row>
    <row r="13" spans="2:4" s="348" customFormat="1">
      <c r="B13" s="346" t="s">
        <v>1600</v>
      </c>
      <c r="C13" s="355" t="s">
        <v>1601</v>
      </c>
      <c r="D13" s="349"/>
    </row>
    <row r="14" spans="2:4" s="348" customFormat="1">
      <c r="B14" s="346" t="s">
        <v>1503</v>
      </c>
      <c r="C14" s="355" t="s">
        <v>1602</v>
      </c>
      <c r="D14" s="347"/>
    </row>
    <row r="15" spans="2:4" s="348" customFormat="1">
      <c r="B15" s="346" t="s">
        <v>1504</v>
      </c>
      <c r="C15" s="355" t="s">
        <v>1603</v>
      </c>
      <c r="D15" s="347"/>
    </row>
    <row r="16" spans="2:4" s="348" customFormat="1">
      <c r="B16" s="346" t="s">
        <v>1505</v>
      </c>
      <c r="C16" s="355" t="s">
        <v>1604</v>
      </c>
      <c r="D16" s="347"/>
    </row>
    <row r="17" spans="2:4" s="348" customFormat="1">
      <c r="B17" s="346" t="s">
        <v>1506</v>
      </c>
      <c r="C17" s="355" t="s">
        <v>1605</v>
      </c>
      <c r="D17" s="347"/>
    </row>
    <row r="18" spans="2:4" s="348" customFormat="1">
      <c r="B18" s="346" t="s">
        <v>1507</v>
      </c>
      <c r="C18" s="355" t="s">
        <v>1606</v>
      </c>
      <c r="D18" s="347"/>
    </row>
    <row r="19" spans="2:4" s="348" customFormat="1">
      <c r="B19" s="346" t="s">
        <v>2438</v>
      </c>
      <c r="C19" s="355" t="s">
        <v>1607</v>
      </c>
      <c r="D19" s="347"/>
    </row>
    <row r="20" spans="2:4" s="348" customFormat="1">
      <c r="B20" s="346" t="s">
        <v>2439</v>
      </c>
      <c r="C20" s="355" t="s">
        <v>1608</v>
      </c>
      <c r="D20" s="347"/>
    </row>
    <row r="21" spans="2:4" s="348" customFormat="1">
      <c r="B21" s="346" t="s">
        <v>2440</v>
      </c>
      <c r="C21" s="355" t="s">
        <v>1609</v>
      </c>
      <c r="D21" s="347"/>
    </row>
    <row r="22" spans="2:4" s="348" customFormat="1">
      <c r="B22" s="346" t="s">
        <v>1509</v>
      </c>
      <c r="C22" s="355" t="s">
        <v>1627</v>
      </c>
      <c r="D22" s="347"/>
    </row>
    <row r="23" spans="2:4" s="348" customFormat="1" ht="12.75" customHeight="1">
      <c r="B23" s="346" t="s">
        <v>1510</v>
      </c>
      <c r="C23" s="355" t="s">
        <v>1626</v>
      </c>
      <c r="D23" s="347"/>
    </row>
    <row r="24" spans="2:4" s="348" customFormat="1">
      <c r="B24" s="346" t="s">
        <v>2441</v>
      </c>
      <c r="C24" s="355" t="s">
        <v>1610</v>
      </c>
      <c r="D24" s="347"/>
    </row>
    <row r="25" spans="2:4" s="348" customFormat="1">
      <c r="B25" s="346" t="s">
        <v>2442</v>
      </c>
      <c r="C25" s="355" t="s">
        <v>1967</v>
      </c>
      <c r="D25" s="347"/>
    </row>
    <row r="26" spans="2:4" s="348" customFormat="1">
      <c r="B26" s="346" t="s">
        <v>1512</v>
      </c>
      <c r="C26" s="355" t="s">
        <v>2968</v>
      </c>
      <c r="D26" s="347"/>
    </row>
    <row r="27" spans="2:4" s="348" customFormat="1">
      <c r="B27" s="346" t="s">
        <v>1513</v>
      </c>
      <c r="C27" s="355" t="s">
        <v>2911</v>
      </c>
      <c r="D27" s="347"/>
    </row>
    <row r="28" spans="2:4" s="348" customFormat="1">
      <c r="B28" s="346" t="s">
        <v>1514</v>
      </c>
      <c r="C28" s="355" t="s">
        <v>1611</v>
      </c>
      <c r="D28" s="347"/>
    </row>
    <row r="29" spans="2:4" s="348" customFormat="1">
      <c r="B29" s="346" t="s">
        <v>1515</v>
      </c>
      <c r="C29" s="355" t="s">
        <v>1612</v>
      </c>
      <c r="D29" s="347"/>
    </row>
    <row r="30" spans="2:4" s="348" customFormat="1">
      <c r="B30" s="346" t="s">
        <v>1516</v>
      </c>
      <c r="C30" s="355" t="s">
        <v>1613</v>
      </c>
      <c r="D30" s="347"/>
    </row>
    <row r="31" spans="2:4" s="348" customFormat="1">
      <c r="B31" s="346" t="s">
        <v>1517</v>
      </c>
      <c r="C31" s="355" t="s">
        <v>1614</v>
      </c>
      <c r="D31" s="347"/>
    </row>
    <row r="32" spans="2:4" s="348" customFormat="1">
      <c r="B32" s="346" t="s">
        <v>1518</v>
      </c>
      <c r="C32" s="355" t="s">
        <v>1615</v>
      </c>
      <c r="D32" s="347"/>
    </row>
    <row r="33" spans="2:4" s="348" customFormat="1">
      <c r="B33" s="346" t="s">
        <v>1519</v>
      </c>
      <c r="C33" s="355" t="s">
        <v>1616</v>
      </c>
      <c r="D33" s="347"/>
    </row>
    <row r="34" spans="2:4" s="348" customFormat="1">
      <c r="B34" s="346" t="s">
        <v>1520</v>
      </c>
      <c r="C34" s="355" t="s">
        <v>1617</v>
      </c>
      <c r="D34" s="347"/>
    </row>
    <row r="35" spans="2:4" s="348" customFormat="1">
      <c r="B35" s="346" t="s">
        <v>1521</v>
      </c>
      <c r="C35" s="355" t="s">
        <v>1618</v>
      </c>
      <c r="D35" s="347"/>
    </row>
    <row r="36" spans="2:4" s="348" customFormat="1">
      <c r="B36" s="346" t="s">
        <v>1522</v>
      </c>
      <c r="C36" s="355" t="s">
        <v>1619</v>
      </c>
      <c r="D36" s="347"/>
    </row>
    <row r="37" spans="2:4" s="348" customFormat="1">
      <c r="B37" s="346"/>
      <c r="D37" s="347"/>
    </row>
    <row r="38" spans="2:4" s="348" customFormat="1">
      <c r="B38" s="347"/>
      <c r="C38" s="347"/>
      <c r="D38" s="347"/>
    </row>
    <row r="39" spans="2:4" s="348" customFormat="1" ht="16.5">
      <c r="B39" s="350"/>
      <c r="C39" s="355" t="s">
        <v>1620</v>
      </c>
      <c r="D39" s="351"/>
    </row>
  </sheetData>
  <hyperlinks>
    <hyperlink ref="C3" location="'Table IA'!A1" display="Selected Economic Indicators (Money and Banking)"/>
    <hyperlink ref="C4" location="'Table IB'!A1" display="Selected Economic Indicators ( Inflation, Production, Foreign Trade, Forex Reserves and Exchange Rate) "/>
    <hyperlink ref="C5" location="TableIIA!A1" display="Monetary Survey (M2)"/>
    <hyperlink ref="C6" location="TableIIB!A1" display="Claims on Resident Sector by the Banking System"/>
    <hyperlink ref="C7" location="'TableIIC '!A1" display="Reserve Money and its Components"/>
    <hyperlink ref="C8" location="'Table IID'!A1" display="Reserve Money and its Sources"/>
    <hyperlink ref="C9" location="'Table IIE'!A1" display="Monetary Survey (M3)  "/>
    <hyperlink ref="C10" location="'Table IIF'!A1" display="Claims on Resident Sector by Depository Corporations "/>
    <hyperlink ref="C12" location="'Table III A'!A1" display="Balance of  Payments"/>
    <hyperlink ref="C13" location="'Table IIIB'!A1" display="Foreign Direct Investment (FDI) Inflows and Stocks by Components in Bangladesh"/>
    <hyperlink ref="C14" location="'Table IV'!A1" display="Foreign Trade"/>
    <hyperlink ref="C15" location="'Table V'!A1" display="Production of Major Agricultural Commodities "/>
    <hyperlink ref="C16" location="'Table VI'!A1" display="Production of Major Industrial Commodities (Other than Jute Goods) "/>
    <hyperlink ref="C17" location="'Table VII'!A1" display="Consumer Price Index and Inflation Rate in Bangladesh"/>
    <hyperlink ref="C18" location="'Table VIII'!A1" display="Average Prices of Selected Commodities"/>
    <hyperlink ref="C19" location="TableIXA!A1" display="Gross Domestic Product of Bangladesh at Current Market Price"/>
    <hyperlink ref="C20" location="TableIXB!A1" display="Gross Domestic Product of Bangladesh at Constant Market Price "/>
    <hyperlink ref="C21" location="TableIXC!A1" display="Key Indicators of National Accounts"/>
    <hyperlink ref="C22" location="TableX!A1" display="Index Number of  Ordinary Share Prices, Turn Over, Issued Capital and Total Number of Companies Listed with the Dhaka Stock Exchange Ltd."/>
    <hyperlink ref="C23" location="TableXI!A1" display="Market Capitalisation (Value) of Ordinary Shares of Companies Listed with the Dhaka Stock Exchange Ltd."/>
    <hyperlink ref="C24" location="'Table XIIA'!A1" display="Interest Rate Structure of Government Securities/Bonds and Savings Instruments "/>
    <hyperlink ref="C25" location="'Table XIIB'!A1" display="Bank Rate and Interest Rate Structure of Post Office Savings Bank and House Building Finance Corporation and National Savings Certificates"/>
    <hyperlink ref="C26" location="TableXIII!A1" display="Bank-wise Announced Interest Rate Structure in Bangladesh (Except Islamic Banks), December 2014"/>
    <hyperlink ref="C27" location="'Table XIV'!A1" display="Profit Rate Structure of  the Islamic Banks, 2013"/>
    <hyperlink ref="C28" location="TableXV!A1" display="Rate of Interest on Non-resident Foreign Currency Deposit (NFCD) Accounts "/>
    <hyperlink ref="C29" location="TableXVI!A1" display="Monthly Average Call Money Market Rates"/>
    <hyperlink ref="C30" location="'Table XVII'!A1" display="Some Indicators of Income, Expenditure &amp; Profitability of the Banking Sector"/>
    <hyperlink ref="C31" location="'Table XVIII'!A1" display="Number of Persons Left for Abroad on Employment and Total Workers’ Remittances"/>
    <hyperlink ref="C32" location="TableXIX!A1" display="Country-wise Workers’ Remittances"/>
    <hyperlink ref="C33" location="TableXX!A1" display="Exchange Rates (Taka Per Currencies)"/>
    <hyperlink ref="C34" location="TableXXI!A1" display="Appreciation/Depreciation of Some Selected Currencies Against U.S. Dollar"/>
    <hyperlink ref="C35" location="'Table XXII'!A1" display="Some Selected Commodity Prices at International Markets"/>
    <hyperlink ref="C36" location="'Table XXIII'!A1" display="Selected Tax Revenue Receipts of the Government Under NBR and Others"/>
    <hyperlink ref="C39" location="'Appendix- Weights &amp; Measures'!A1" display="Appendix : Weights and Measures"/>
    <hyperlink ref="C11" location="'Table IIG'!A1" display="E-Banking &amp; E-Commerce Statistics"/>
  </hyperlinks>
  <pageMargins left="0.19685039370078741" right="0.19685039370078741" top="0.15748031496062992" bottom="0.15748031496062992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F128"/>
  <sheetViews>
    <sheetView topLeftCell="D1" zoomScale="120" zoomScaleNormal="120" workbookViewId="0">
      <pane ySplit="7" topLeftCell="A59" activePane="bottomLeft" state="frozen"/>
      <selection activeCell="I1" sqref="I1"/>
      <selection pane="bottomLeft" activeCell="G66" sqref="G66"/>
    </sheetView>
  </sheetViews>
  <sheetFormatPr defaultColWidth="9.140625" defaultRowHeight="11.25"/>
  <cols>
    <col min="1" max="8" width="9.140625" style="10"/>
    <col min="9" max="9" width="8.42578125" style="10" customWidth="1"/>
    <col min="10" max="10" width="1.28515625" style="10" customWidth="1"/>
    <col min="11" max="11" width="9" style="10" customWidth="1"/>
    <col min="12" max="12" width="9.5703125" style="10" customWidth="1"/>
    <col min="13" max="14" width="8.5703125" style="10" customWidth="1"/>
    <col min="15" max="15" width="8.85546875" style="10" customWidth="1"/>
    <col min="16" max="16" width="7.85546875" style="10" customWidth="1"/>
    <col min="17" max="17" width="8.42578125" style="10" customWidth="1"/>
    <col min="18" max="18" width="8" style="10" customWidth="1"/>
    <col min="19" max="20" width="9.42578125" style="10" customWidth="1"/>
    <col min="21" max="21" width="9" style="10" customWidth="1"/>
    <col min="22" max="22" width="9.140625" style="10" customWidth="1"/>
    <col min="23" max="23" width="9.7109375" style="10" customWidth="1"/>
    <col min="24" max="24" width="9.85546875" style="10" customWidth="1"/>
    <col min="25" max="25" width="9.140625" style="10"/>
    <col min="26" max="26" width="9.28515625" style="10" customWidth="1"/>
    <col min="27" max="27" width="8.85546875" style="10" customWidth="1"/>
    <col min="28" max="28" width="6.85546875" style="10" customWidth="1"/>
    <col min="29" max="29" width="7.7109375" style="10" customWidth="1"/>
    <col min="30" max="30" width="8.5703125" style="10" customWidth="1"/>
    <col min="31" max="31" width="10.28515625" style="10" customWidth="1"/>
    <col min="32" max="32" width="8.7109375" style="10" customWidth="1"/>
    <col min="33" max="33" width="8.5703125" style="10" customWidth="1"/>
    <col min="34" max="34" width="9" style="10" customWidth="1"/>
    <col min="35" max="35" width="9.28515625" style="10" customWidth="1"/>
    <col min="36" max="36" width="8.85546875" style="10" customWidth="1"/>
    <col min="37" max="37" width="9" style="10" customWidth="1"/>
    <col min="38" max="38" width="8.5703125" style="10" customWidth="1"/>
    <col min="39" max="39" width="11.42578125" style="10" customWidth="1"/>
    <col min="40" max="40" width="9.5703125" style="10" customWidth="1"/>
    <col min="41" max="41" width="9.28515625" style="10" customWidth="1"/>
    <col min="42" max="42" width="10.140625" style="10" customWidth="1"/>
    <col min="43" max="43" width="11" style="10" customWidth="1"/>
    <col min="44" max="44" width="9" style="10" customWidth="1"/>
    <col min="45" max="45" width="9.28515625" style="10" bestFit="1" customWidth="1"/>
    <col min="46" max="46" width="10.28515625" style="10" customWidth="1"/>
    <col min="47" max="47" width="9.28515625" style="10" customWidth="1"/>
    <col min="48" max="48" width="9.5703125" style="10" customWidth="1"/>
    <col min="49" max="49" width="10" style="10" customWidth="1"/>
    <col min="50" max="51" width="10.5703125" style="10" customWidth="1"/>
    <col min="52" max="52" width="8.28515625" style="10" customWidth="1"/>
    <col min="53" max="53" width="7.85546875" style="10" customWidth="1"/>
    <col min="54" max="54" width="7.28515625" style="10" customWidth="1"/>
    <col min="55" max="55" width="8.7109375" style="10" customWidth="1"/>
    <col min="56" max="56" width="7.42578125" style="10" customWidth="1"/>
    <col min="57" max="57" width="7.7109375" style="10" customWidth="1"/>
    <col min="58" max="58" width="7.42578125" style="10" customWidth="1"/>
    <col min="59" max="59" width="7.28515625" style="10" customWidth="1"/>
    <col min="60" max="60" width="8" style="10" customWidth="1"/>
    <col min="61" max="61" width="8.42578125" style="10" customWidth="1"/>
    <col min="62" max="62" width="7.5703125" style="10" customWidth="1"/>
    <col min="63" max="63" width="1.28515625" style="10" customWidth="1"/>
    <col min="64" max="64" width="6.28515625" style="10" customWidth="1"/>
    <col min="65" max="66" width="6" style="10" customWidth="1"/>
    <col min="67" max="67" width="7.28515625" style="10" customWidth="1"/>
    <col min="68" max="68" width="5.85546875" style="10" customWidth="1"/>
    <col min="69" max="69" width="6.5703125" style="10" customWidth="1"/>
    <col min="70" max="70" width="8.85546875" style="10" customWidth="1"/>
    <col min="71" max="71" width="8.5703125" style="10" customWidth="1"/>
    <col min="72" max="72" width="7.85546875" style="10" customWidth="1"/>
    <col min="73" max="73" width="7.140625" style="10" customWidth="1"/>
    <col min="74" max="74" width="6.7109375" style="10" customWidth="1"/>
    <col min="75" max="76" width="6.42578125" style="10" customWidth="1"/>
    <col min="77" max="77" width="8.85546875" style="10" customWidth="1"/>
    <col min="78" max="78" width="5.42578125" style="10" customWidth="1"/>
    <col min="79" max="79" width="6.5703125" style="10" customWidth="1"/>
    <col min="80" max="80" width="7.7109375" style="10" customWidth="1"/>
    <col min="81" max="81" width="6.85546875" style="10" customWidth="1"/>
    <col min="82" max="82" width="6.7109375" style="10" customWidth="1"/>
    <col min="83" max="83" width="7.42578125" style="10" customWidth="1"/>
    <col min="84" max="84" width="6.85546875" style="10" customWidth="1"/>
    <col min="85" max="16384" width="9.140625" style="10"/>
  </cols>
  <sheetData>
    <row r="1" spans="2:84" s="50" customFormat="1" ht="13.5" customHeight="1">
      <c r="I1" s="1729" t="s">
        <v>327</v>
      </c>
      <c r="J1" s="1729"/>
      <c r="K1" s="1729"/>
      <c r="L1" s="1729"/>
      <c r="M1" s="1729"/>
      <c r="N1" s="1729"/>
      <c r="O1" s="1729"/>
      <c r="P1" s="1729"/>
      <c r="Q1" s="1729"/>
      <c r="R1" s="1729"/>
      <c r="S1" s="397" t="s">
        <v>328</v>
      </c>
      <c r="X1" s="1742" t="s">
        <v>866</v>
      </c>
      <c r="Y1" s="1742"/>
      <c r="Z1" s="1742"/>
      <c r="AA1" s="398"/>
      <c r="AF1" s="1740" t="s">
        <v>327</v>
      </c>
      <c r="AG1" s="1740"/>
      <c r="AH1" s="1740"/>
      <c r="AI1" s="1740"/>
      <c r="AJ1" s="1748" t="s">
        <v>865</v>
      </c>
      <c r="AK1" s="1683"/>
      <c r="AO1" s="1742" t="s">
        <v>866</v>
      </c>
      <c r="AP1" s="1742"/>
      <c r="AQ1" s="1742"/>
      <c r="AR1" s="399"/>
      <c r="AS1" s="400"/>
      <c r="AT1" s="400"/>
      <c r="AU1" s="400"/>
      <c r="AV1" s="400"/>
      <c r="AW1" s="1696" t="s">
        <v>327</v>
      </c>
      <c r="AX1" s="1696"/>
      <c r="AY1" s="1696"/>
      <c r="AZ1" s="1695" t="s">
        <v>865</v>
      </c>
      <c r="BA1" s="1695"/>
      <c r="BB1" s="1695"/>
      <c r="BC1" s="1695"/>
      <c r="BD1" s="1695"/>
      <c r="BE1" s="1695"/>
      <c r="BF1" s="1695"/>
      <c r="BG1" s="1742" t="s">
        <v>866</v>
      </c>
      <c r="BH1" s="1742"/>
      <c r="BI1" s="1742"/>
      <c r="BL1" s="398"/>
      <c r="BM1" s="398"/>
      <c r="BN1" s="398"/>
      <c r="BO1" s="398"/>
      <c r="BP1" s="398"/>
      <c r="BQ1" s="398"/>
      <c r="BR1" s="1696" t="s">
        <v>327</v>
      </c>
      <c r="BS1" s="1696"/>
      <c r="BT1" s="1696"/>
      <c r="BU1" s="1696"/>
      <c r="BV1" s="1695" t="s">
        <v>865</v>
      </c>
      <c r="BW1" s="1695"/>
      <c r="BX1" s="1695"/>
      <c r="BY1" s="211"/>
      <c r="BZ1" s="211"/>
      <c r="CC1" s="211"/>
      <c r="CD1" s="1694" t="s">
        <v>1224</v>
      </c>
      <c r="CE1" s="1694"/>
      <c r="CF1" s="1694"/>
    </row>
    <row r="2" spans="2:84" s="57" customFormat="1" ht="11.25" customHeight="1">
      <c r="I2" s="401"/>
      <c r="J2" s="401"/>
      <c r="K2" s="401"/>
      <c r="L2" s="401"/>
      <c r="M2" s="401"/>
      <c r="N2" s="401"/>
      <c r="O2" s="401"/>
      <c r="P2" s="401"/>
      <c r="Q2" s="1705" t="s">
        <v>845</v>
      </c>
      <c r="R2" s="1705"/>
      <c r="S2" s="57" t="s">
        <v>864</v>
      </c>
      <c r="X2" s="402"/>
      <c r="Y2" s="1705" t="s">
        <v>42</v>
      </c>
      <c r="Z2" s="1705"/>
      <c r="AA2" s="402"/>
      <c r="AG2" s="402"/>
      <c r="AH2" s="1741" t="s">
        <v>845</v>
      </c>
      <c r="AI2" s="1741"/>
      <c r="AJ2" s="57" t="s">
        <v>864</v>
      </c>
      <c r="AO2" s="402"/>
      <c r="AP2" s="1741" t="s">
        <v>42</v>
      </c>
      <c r="AQ2" s="1746"/>
      <c r="AR2" s="403"/>
      <c r="AS2" s="403"/>
      <c r="AT2" s="403"/>
      <c r="AU2" s="403"/>
      <c r="AV2" s="403"/>
      <c r="AW2" s="403"/>
      <c r="AX2" s="1705" t="s">
        <v>867</v>
      </c>
      <c r="AY2" s="1705"/>
      <c r="AZ2" s="404" t="s">
        <v>864</v>
      </c>
      <c r="BA2" s="402"/>
      <c r="BB2" s="402"/>
      <c r="BC2" s="402"/>
      <c r="BD2" s="402"/>
      <c r="BE2" s="402"/>
      <c r="BF2" s="402"/>
      <c r="BG2" s="402"/>
      <c r="BH2" s="1741" t="s">
        <v>42</v>
      </c>
      <c r="BI2" s="1746"/>
      <c r="BL2" s="402"/>
      <c r="BM2" s="402"/>
      <c r="BN2" s="402"/>
      <c r="BO2" s="402"/>
      <c r="BP2" s="402"/>
      <c r="BQ2" s="402"/>
      <c r="BR2" s="403"/>
      <c r="BT2" s="1685" t="s">
        <v>2306</v>
      </c>
      <c r="BU2" s="1685"/>
      <c r="BV2" s="1697" t="s">
        <v>864</v>
      </c>
      <c r="BW2" s="1697"/>
      <c r="BX2" s="402"/>
      <c r="BY2" s="402"/>
      <c r="BZ2" s="402"/>
      <c r="CC2" s="925"/>
      <c r="CD2" s="170"/>
      <c r="CE2" s="1685" t="s">
        <v>42</v>
      </c>
      <c r="CF2" s="1685"/>
    </row>
    <row r="3" spans="2:84" s="57" customFormat="1" ht="3.75" customHeight="1">
      <c r="P3" s="403"/>
      <c r="Q3" s="1685"/>
      <c r="R3" s="1685"/>
      <c r="S3" s="1707"/>
      <c r="T3" s="1707"/>
      <c r="U3" s="1707"/>
      <c r="V3" s="1706"/>
      <c r="W3" s="1706"/>
      <c r="X3" s="405"/>
      <c r="AA3" s="406"/>
      <c r="AB3" s="1706" t="s">
        <v>1310</v>
      </c>
      <c r="AC3" s="1706"/>
      <c r="AD3" s="1706"/>
      <c r="AE3" s="1706"/>
      <c r="AF3" s="1706"/>
      <c r="AG3" s="405"/>
      <c r="AH3" s="1743"/>
      <c r="AI3" s="1743"/>
      <c r="AJ3" s="1749"/>
      <c r="AK3" s="1749"/>
      <c r="AL3" s="1749"/>
      <c r="AM3" s="1749"/>
      <c r="AN3" s="1749"/>
      <c r="AO3" s="405"/>
      <c r="AP3" s="1741"/>
      <c r="AQ3" s="1746"/>
      <c r="AR3" s="406"/>
      <c r="AS3" s="1706"/>
      <c r="AT3" s="1706"/>
      <c r="AU3" s="1706"/>
      <c r="AV3" s="1706"/>
      <c r="AW3" s="1706"/>
      <c r="AX3" s="1706"/>
      <c r="AY3" s="1706"/>
      <c r="AZ3" s="1706"/>
      <c r="BA3" s="1706"/>
      <c r="BB3" s="1706"/>
      <c r="BC3" s="1706"/>
      <c r="BD3" s="1706"/>
      <c r="BE3" s="1706"/>
      <c r="BF3" s="1706"/>
      <c r="BH3" s="1741"/>
      <c r="BI3" s="1746"/>
      <c r="BL3" s="1706"/>
      <c r="BM3" s="1706"/>
      <c r="BN3" s="1706"/>
      <c r="BO3" s="1706"/>
      <c r="BP3" s="1706"/>
      <c r="BQ3" s="1706"/>
      <c r="BR3" s="1706"/>
      <c r="BU3" s="1706"/>
      <c r="BV3" s="1707"/>
      <c r="BW3" s="1707"/>
      <c r="BX3" s="1707"/>
      <c r="BY3" s="1707"/>
      <c r="BZ3" s="1707"/>
      <c r="CB3" s="1705"/>
      <c r="CC3" s="1705"/>
    </row>
    <row r="4" spans="2:84" s="430" customFormat="1" ht="24.75" customHeight="1">
      <c r="I4" s="1734" t="s">
        <v>2101</v>
      </c>
      <c r="J4" s="1735"/>
      <c r="K4" s="1722" t="s">
        <v>318</v>
      </c>
      <c r="L4" s="1723"/>
      <c r="M4" s="1724"/>
      <c r="N4" s="1700" t="s">
        <v>458</v>
      </c>
      <c r="O4" s="1700" t="s">
        <v>2100</v>
      </c>
      <c r="P4" s="1715" t="s">
        <v>1313</v>
      </c>
      <c r="Q4" s="1716"/>
      <c r="R4" s="1717"/>
      <c r="S4" s="1718" t="s">
        <v>459</v>
      </c>
      <c r="T4" s="1718"/>
      <c r="U4" s="1719"/>
      <c r="V4" s="1727" t="s">
        <v>1003</v>
      </c>
      <c r="W4" s="1725" t="s">
        <v>322</v>
      </c>
      <c r="X4" s="1725"/>
      <c r="Y4" s="1725"/>
      <c r="Z4" s="1725"/>
      <c r="AA4" s="1730" t="s">
        <v>2101</v>
      </c>
      <c r="AB4" s="1725" t="s">
        <v>1004</v>
      </c>
      <c r="AC4" s="1725"/>
      <c r="AD4" s="1725"/>
      <c r="AE4" s="1725"/>
      <c r="AF4" s="1689" t="s">
        <v>323</v>
      </c>
      <c r="AG4" s="1689"/>
      <c r="AH4" s="1689"/>
      <c r="AI4" s="1689"/>
      <c r="AJ4" s="1725" t="s">
        <v>1005</v>
      </c>
      <c r="AK4" s="1725"/>
      <c r="AL4" s="1725"/>
      <c r="AM4" s="1725"/>
      <c r="AN4" s="1689" t="s">
        <v>2118</v>
      </c>
      <c r="AO4" s="1689"/>
      <c r="AP4" s="1689"/>
      <c r="AQ4" s="1689"/>
      <c r="AR4" s="1750" t="s">
        <v>2101</v>
      </c>
      <c r="AS4" s="1725" t="s">
        <v>40</v>
      </c>
      <c r="AT4" s="1725"/>
      <c r="AU4" s="1725"/>
      <c r="AV4" s="1725"/>
      <c r="AW4" s="1725" t="s">
        <v>411</v>
      </c>
      <c r="AX4" s="1725"/>
      <c r="AY4" s="1725"/>
      <c r="AZ4" s="1725" t="s">
        <v>1736</v>
      </c>
      <c r="BA4" s="1725"/>
      <c r="BB4" s="1725"/>
      <c r="BC4" s="1690" t="s">
        <v>815</v>
      </c>
      <c r="BD4" s="1690" t="s">
        <v>1632</v>
      </c>
      <c r="BE4" s="1689" t="s">
        <v>1381</v>
      </c>
      <c r="BF4" s="1689"/>
      <c r="BG4" s="1689"/>
      <c r="BH4" s="1689"/>
      <c r="BI4" s="1689"/>
      <c r="BJ4" s="1734" t="s">
        <v>2101</v>
      </c>
      <c r="BK4" s="1735"/>
      <c r="BL4" s="1689" t="s">
        <v>332</v>
      </c>
      <c r="BM4" s="1689"/>
      <c r="BN4" s="1689"/>
      <c r="BO4" s="1745"/>
      <c r="BP4" s="1689"/>
      <c r="BQ4" s="1690" t="s">
        <v>333</v>
      </c>
      <c r="BR4" s="1702" t="s">
        <v>1324</v>
      </c>
      <c r="BS4" s="1702"/>
      <c r="BT4" s="1690" t="s">
        <v>467</v>
      </c>
      <c r="BU4" s="1703" t="s">
        <v>2222</v>
      </c>
      <c r="BV4" s="1689" t="s">
        <v>484</v>
      </c>
      <c r="BW4" s="1689"/>
      <c r="BX4" s="1689"/>
      <c r="BY4" s="1689"/>
      <c r="BZ4" s="1689"/>
      <c r="CA4" s="1689"/>
      <c r="CB4" s="1689"/>
      <c r="CC4" s="1689"/>
      <c r="CD4" s="1689"/>
      <c r="CE4" s="1689"/>
      <c r="CF4" s="1689"/>
    </row>
    <row r="5" spans="2:84" s="430" customFormat="1" ht="27" customHeight="1">
      <c r="I5" s="1736"/>
      <c r="J5" s="1737"/>
      <c r="K5" s="1690" t="s">
        <v>3002</v>
      </c>
      <c r="L5" s="1690" t="s">
        <v>3000</v>
      </c>
      <c r="M5" s="1700" t="s">
        <v>2024</v>
      </c>
      <c r="N5" s="1731"/>
      <c r="O5" s="1732"/>
      <c r="P5" s="1700" t="s">
        <v>2102</v>
      </c>
      <c r="Q5" s="1700" t="s">
        <v>482</v>
      </c>
      <c r="R5" s="1586" t="s">
        <v>319</v>
      </c>
      <c r="S5" s="1713" t="s">
        <v>1141</v>
      </c>
      <c r="T5" s="1714"/>
      <c r="U5" s="1726" t="s">
        <v>1660</v>
      </c>
      <c r="V5" s="1728"/>
      <c r="W5" s="1690" t="s">
        <v>2105</v>
      </c>
      <c r="X5" s="1720" t="s">
        <v>2106</v>
      </c>
      <c r="Y5" s="1690" t="s">
        <v>2107</v>
      </c>
      <c r="Z5" s="1690" t="s">
        <v>1372</v>
      </c>
      <c r="AA5" s="1730"/>
      <c r="AB5" s="1690" t="s">
        <v>483</v>
      </c>
      <c r="AC5" s="1690" t="s">
        <v>461</v>
      </c>
      <c r="AD5" s="1690" t="s">
        <v>460</v>
      </c>
      <c r="AE5" s="1690" t="s">
        <v>1373</v>
      </c>
      <c r="AF5" s="1690" t="s">
        <v>2108</v>
      </c>
      <c r="AG5" s="1690" t="s">
        <v>462</v>
      </c>
      <c r="AH5" s="1690" t="s">
        <v>2109</v>
      </c>
      <c r="AI5" s="1690" t="s">
        <v>1374</v>
      </c>
      <c r="AJ5" s="1690" t="s">
        <v>2110</v>
      </c>
      <c r="AK5" s="1690" t="s">
        <v>2111</v>
      </c>
      <c r="AL5" s="1690" t="s">
        <v>2112</v>
      </c>
      <c r="AM5" s="1690" t="s">
        <v>1375</v>
      </c>
      <c r="AN5" s="1690" t="s">
        <v>1376</v>
      </c>
      <c r="AO5" s="1703" t="s">
        <v>2113</v>
      </c>
      <c r="AP5" s="1690" t="s">
        <v>2114</v>
      </c>
      <c r="AQ5" s="1690" t="s">
        <v>1658</v>
      </c>
      <c r="AR5" s="1751"/>
      <c r="AS5" s="1690" t="s">
        <v>2115</v>
      </c>
      <c r="AT5" s="1690" t="s">
        <v>2116</v>
      </c>
      <c r="AU5" s="1690" t="s">
        <v>2119</v>
      </c>
      <c r="AV5" s="1690" t="s">
        <v>2117</v>
      </c>
      <c r="AW5" s="1690" t="s">
        <v>41</v>
      </c>
      <c r="AX5" s="1690" t="s">
        <v>2332</v>
      </c>
      <c r="AY5" s="1690" t="s">
        <v>1377</v>
      </c>
      <c r="AZ5" s="1690" t="s">
        <v>464</v>
      </c>
      <c r="BA5" s="1690" t="s">
        <v>1378</v>
      </c>
      <c r="BB5" s="1744" t="s">
        <v>1128</v>
      </c>
      <c r="BC5" s="1690"/>
      <c r="BD5" s="1690"/>
      <c r="BE5" s="1744" t="s">
        <v>329</v>
      </c>
      <c r="BF5" s="1744"/>
      <c r="BG5" s="1744" t="s">
        <v>330</v>
      </c>
      <c r="BH5" s="1744"/>
      <c r="BI5" s="1690" t="s">
        <v>1738</v>
      </c>
      <c r="BJ5" s="1736"/>
      <c r="BK5" s="1737"/>
      <c r="BL5" s="1690" t="s">
        <v>335</v>
      </c>
      <c r="BM5" s="1690" t="s">
        <v>336</v>
      </c>
      <c r="BN5" s="1691" t="s">
        <v>466</v>
      </c>
      <c r="BO5" s="1692" t="s">
        <v>368</v>
      </c>
      <c r="BP5" s="1700" t="s">
        <v>2220</v>
      </c>
      <c r="BQ5" s="1690"/>
      <c r="BR5" s="1690" t="s">
        <v>337</v>
      </c>
      <c r="BS5" s="1703" t="s">
        <v>2221</v>
      </c>
      <c r="BT5" s="1690"/>
      <c r="BU5" s="1703"/>
      <c r="BV5" s="1698" t="s">
        <v>1687</v>
      </c>
      <c r="BW5" s="1698" t="s">
        <v>468</v>
      </c>
      <c r="BX5" s="1698" t="s">
        <v>1659</v>
      </c>
      <c r="BY5" s="1708" t="s">
        <v>2223</v>
      </c>
      <c r="BZ5" s="1701" t="s">
        <v>338</v>
      </c>
      <c r="CA5" s="1686" t="s">
        <v>2851</v>
      </c>
      <c r="CB5" s="1687"/>
      <c r="CC5" s="1688"/>
      <c r="CD5" s="1686" t="s">
        <v>2852</v>
      </c>
      <c r="CE5" s="1687"/>
      <c r="CF5" s="1688"/>
    </row>
    <row r="6" spans="2:84" s="430" customFormat="1" ht="45.6" customHeight="1">
      <c r="H6" s="327"/>
      <c r="I6" s="1736"/>
      <c r="J6" s="1737"/>
      <c r="K6" s="1690"/>
      <c r="L6" s="1690"/>
      <c r="M6" s="1701"/>
      <c r="N6" s="1701"/>
      <c r="O6" s="1733"/>
      <c r="P6" s="1701"/>
      <c r="Q6" s="1701"/>
      <c r="R6" s="1588" t="s">
        <v>1223</v>
      </c>
      <c r="S6" s="1588" t="s">
        <v>2103</v>
      </c>
      <c r="T6" s="1588" t="s">
        <v>2104</v>
      </c>
      <c r="U6" s="1690"/>
      <c r="V6" s="1728"/>
      <c r="W6" s="1690"/>
      <c r="X6" s="1721"/>
      <c r="Y6" s="1690"/>
      <c r="Z6" s="1690"/>
      <c r="AA6" s="1730"/>
      <c r="AB6" s="1690"/>
      <c r="AC6" s="1690"/>
      <c r="AD6" s="1690"/>
      <c r="AE6" s="1690"/>
      <c r="AF6" s="1690"/>
      <c r="AG6" s="1690"/>
      <c r="AH6" s="1690"/>
      <c r="AI6" s="1690"/>
      <c r="AJ6" s="1690"/>
      <c r="AK6" s="1690"/>
      <c r="AL6" s="1690"/>
      <c r="AM6" s="1690"/>
      <c r="AN6" s="1690"/>
      <c r="AO6" s="1703"/>
      <c r="AP6" s="1690"/>
      <c r="AQ6" s="1690"/>
      <c r="AR6" s="1751"/>
      <c r="AS6" s="1690"/>
      <c r="AT6" s="1690"/>
      <c r="AU6" s="1690"/>
      <c r="AV6" s="1690"/>
      <c r="AW6" s="1690"/>
      <c r="AX6" s="1690"/>
      <c r="AY6" s="1690"/>
      <c r="AZ6" s="1690"/>
      <c r="BA6" s="1690"/>
      <c r="BB6" s="1744"/>
      <c r="BC6" s="1690"/>
      <c r="BD6" s="1690"/>
      <c r="BE6" s="1525" t="s">
        <v>1739</v>
      </c>
      <c r="BF6" s="1587" t="s">
        <v>465</v>
      </c>
      <c r="BG6" s="1525" t="s">
        <v>331</v>
      </c>
      <c r="BH6" s="1587" t="s">
        <v>465</v>
      </c>
      <c r="BI6" s="1690"/>
      <c r="BJ6" s="1736"/>
      <c r="BK6" s="1737"/>
      <c r="BL6" s="1690"/>
      <c r="BM6" s="1690"/>
      <c r="BN6" s="1691"/>
      <c r="BO6" s="1693"/>
      <c r="BP6" s="1701"/>
      <c r="BQ6" s="1690"/>
      <c r="BR6" s="1690"/>
      <c r="BS6" s="1703"/>
      <c r="BT6" s="1690"/>
      <c r="BU6" s="1703"/>
      <c r="BV6" s="1699"/>
      <c r="BW6" s="1699"/>
      <c r="BX6" s="1699"/>
      <c r="BY6" s="1698"/>
      <c r="BZ6" s="1690"/>
      <c r="CA6" s="1589" t="s">
        <v>341</v>
      </c>
      <c r="CB6" s="1526" t="s">
        <v>342</v>
      </c>
      <c r="CC6" s="1526" t="s">
        <v>2645</v>
      </c>
      <c r="CD6" s="1526" t="s">
        <v>341</v>
      </c>
      <c r="CE6" s="1526" t="s">
        <v>342</v>
      </c>
      <c r="CF6" s="1526" t="s">
        <v>2646</v>
      </c>
    </row>
    <row r="7" spans="2:84" s="227" customFormat="1" ht="9.1999999999999993" customHeight="1">
      <c r="I7" s="1738"/>
      <c r="J7" s="1739"/>
      <c r="K7" s="226">
        <v>1</v>
      </c>
      <c r="L7" s="226">
        <v>2</v>
      </c>
      <c r="M7" s="226">
        <v>3</v>
      </c>
      <c r="N7" s="226">
        <v>4</v>
      </c>
      <c r="O7" s="226">
        <v>5</v>
      </c>
      <c r="P7" s="226">
        <v>6</v>
      </c>
      <c r="Q7" s="226">
        <v>7</v>
      </c>
      <c r="R7" s="226">
        <v>8</v>
      </c>
      <c r="S7" s="226">
        <v>9</v>
      </c>
      <c r="T7" s="226">
        <v>10</v>
      </c>
      <c r="U7" s="226">
        <v>11</v>
      </c>
      <c r="V7" s="226">
        <v>12</v>
      </c>
      <c r="W7" s="226">
        <v>13</v>
      </c>
      <c r="X7" s="226">
        <v>14</v>
      </c>
      <c r="Y7" s="226">
        <v>15</v>
      </c>
      <c r="Z7" s="226">
        <v>16</v>
      </c>
      <c r="AA7" s="1730"/>
      <c r="AB7" s="226">
        <v>17</v>
      </c>
      <c r="AC7" s="226">
        <v>18</v>
      </c>
      <c r="AD7" s="226">
        <v>19</v>
      </c>
      <c r="AE7" s="226">
        <v>20</v>
      </c>
      <c r="AF7" s="226">
        <v>21</v>
      </c>
      <c r="AG7" s="226">
        <v>22</v>
      </c>
      <c r="AH7" s="226">
        <v>23</v>
      </c>
      <c r="AI7" s="226">
        <v>24</v>
      </c>
      <c r="AJ7" s="226">
        <v>25</v>
      </c>
      <c r="AK7" s="226">
        <v>26</v>
      </c>
      <c r="AL7" s="226">
        <v>27</v>
      </c>
      <c r="AM7" s="226">
        <v>28</v>
      </c>
      <c r="AN7" s="226">
        <v>29</v>
      </c>
      <c r="AO7" s="226">
        <v>30</v>
      </c>
      <c r="AP7" s="226">
        <v>31</v>
      </c>
      <c r="AQ7" s="226">
        <v>32</v>
      </c>
      <c r="AR7" s="1752"/>
      <c r="AS7" s="226">
        <v>33</v>
      </c>
      <c r="AT7" s="226">
        <v>34</v>
      </c>
      <c r="AU7" s="226">
        <v>35</v>
      </c>
      <c r="AV7" s="226">
        <v>36</v>
      </c>
      <c r="AW7" s="226">
        <v>37</v>
      </c>
      <c r="AX7" s="226">
        <v>38</v>
      </c>
      <c r="AY7" s="226">
        <v>39</v>
      </c>
      <c r="AZ7" s="226">
        <v>40</v>
      </c>
      <c r="BA7" s="226">
        <v>41</v>
      </c>
      <c r="BB7" s="226">
        <v>42</v>
      </c>
      <c r="BC7" s="226">
        <v>43</v>
      </c>
      <c r="BD7" s="226">
        <v>44</v>
      </c>
      <c r="BE7" s="226">
        <v>45</v>
      </c>
      <c r="BF7" s="226">
        <v>46</v>
      </c>
      <c r="BG7" s="226">
        <v>47</v>
      </c>
      <c r="BH7" s="226">
        <v>48</v>
      </c>
      <c r="BI7" s="226">
        <v>49</v>
      </c>
      <c r="BJ7" s="1738"/>
      <c r="BK7" s="1739"/>
      <c r="BL7" s="162">
        <v>50</v>
      </c>
      <c r="BM7" s="162">
        <v>51</v>
      </c>
      <c r="BN7" s="162">
        <v>52</v>
      </c>
      <c r="BO7" s="162">
        <v>53</v>
      </c>
      <c r="BP7" s="162">
        <v>54</v>
      </c>
      <c r="BQ7" s="162">
        <v>55</v>
      </c>
      <c r="BR7" s="162">
        <v>56</v>
      </c>
      <c r="BS7" s="162">
        <v>57</v>
      </c>
      <c r="BT7" s="162">
        <v>58</v>
      </c>
      <c r="BU7" s="162">
        <v>59</v>
      </c>
      <c r="BV7" s="162">
        <v>60</v>
      </c>
      <c r="BW7" s="162">
        <v>61</v>
      </c>
      <c r="BX7" s="162">
        <v>62</v>
      </c>
      <c r="BY7" s="162">
        <v>63</v>
      </c>
      <c r="BZ7" s="162">
        <v>64</v>
      </c>
      <c r="CA7" s="162">
        <v>65</v>
      </c>
      <c r="CB7" s="162">
        <v>66</v>
      </c>
      <c r="CC7" s="226">
        <v>67</v>
      </c>
      <c r="CD7" s="162">
        <v>68</v>
      </c>
      <c r="CE7" s="226">
        <v>69</v>
      </c>
      <c r="CF7" s="162">
        <v>70</v>
      </c>
    </row>
    <row r="8" spans="2:84" s="25" customFormat="1" ht="9.9499999999999993" hidden="1" customHeight="1">
      <c r="I8" s="519" t="s">
        <v>1197</v>
      </c>
      <c r="J8" s="520"/>
      <c r="K8" s="520">
        <v>8249.2000000000007</v>
      </c>
      <c r="L8" s="520">
        <v>205.5</v>
      </c>
      <c r="M8" s="520">
        <f t="shared" ref="M8:M28" si="0">K8+L8</f>
        <v>8454.7000000000007</v>
      </c>
      <c r="N8" s="520">
        <v>880.1</v>
      </c>
      <c r="O8" s="520">
        <f t="shared" ref="O8:O28" si="1">M8-N8</f>
        <v>7574.6</v>
      </c>
      <c r="P8" s="520">
        <v>2172.8000000000002</v>
      </c>
      <c r="Q8" s="520">
        <v>3499.1</v>
      </c>
      <c r="R8" s="520">
        <v>7592.4</v>
      </c>
      <c r="S8" s="520">
        <v>35460.300000000003</v>
      </c>
      <c r="T8" s="521">
        <f>R8+S8</f>
        <v>43052.700000000004</v>
      </c>
      <c r="U8" s="521">
        <f>Q8+T8</f>
        <v>46551.8</v>
      </c>
      <c r="V8" s="520" t="s">
        <v>836</v>
      </c>
      <c r="W8" s="520">
        <f>O8+R8</f>
        <v>15167</v>
      </c>
      <c r="X8" s="520">
        <f t="shared" ref="X8:X17" si="2">S8+W8</f>
        <v>50627.3</v>
      </c>
      <c r="Y8" s="520">
        <v>1515.7</v>
      </c>
      <c r="Z8" s="520">
        <f t="shared" ref="Z8:Z17" si="3">X8+Y8</f>
        <v>52143</v>
      </c>
      <c r="AA8" s="519" t="s">
        <v>1197</v>
      </c>
      <c r="AB8" s="520">
        <v>0</v>
      </c>
      <c r="AC8" s="520">
        <v>4403.3999999999996</v>
      </c>
      <c r="AD8" s="520">
        <v>36564.1</v>
      </c>
      <c r="AE8" s="520">
        <f t="shared" ref="AE8:AE19" si="4">AC8+AD8</f>
        <v>40967.5</v>
      </c>
      <c r="AF8" s="520">
        <v>0.6</v>
      </c>
      <c r="AG8" s="520">
        <v>173.3</v>
      </c>
      <c r="AH8" s="520">
        <v>1508</v>
      </c>
      <c r="AI8" s="520">
        <f t="shared" ref="AI8:AI17" si="5">AG8+AH8</f>
        <v>1681.3</v>
      </c>
      <c r="AJ8" s="520">
        <v>17.7</v>
      </c>
      <c r="AK8" s="520">
        <v>7379.7</v>
      </c>
      <c r="AL8" s="520">
        <v>859.7</v>
      </c>
      <c r="AM8" s="520">
        <f t="shared" ref="AM8:AM17" si="6">AK8+AL8</f>
        <v>8239.4</v>
      </c>
      <c r="AN8" s="521">
        <f t="shared" ref="AN8:AQ18" si="7">AB8+AF8+AJ8</f>
        <v>18.3</v>
      </c>
      <c r="AO8" s="521">
        <f t="shared" si="7"/>
        <v>11956.4</v>
      </c>
      <c r="AP8" s="521">
        <f t="shared" si="7"/>
        <v>38931.799999999996</v>
      </c>
      <c r="AQ8" s="521">
        <f t="shared" si="7"/>
        <v>50888.200000000004</v>
      </c>
      <c r="AR8" s="519" t="s">
        <v>1197</v>
      </c>
      <c r="AS8" s="520">
        <v>676.9</v>
      </c>
      <c r="AT8" s="520">
        <v>3928.5</v>
      </c>
      <c r="AU8" s="520">
        <v>651.9</v>
      </c>
      <c r="AV8" s="520" t="s">
        <v>836</v>
      </c>
      <c r="AW8" s="520">
        <v>46552.6</v>
      </c>
      <c r="AX8" s="520">
        <v>2001.5</v>
      </c>
      <c r="AY8" s="520">
        <f>AW8+AX8</f>
        <v>48554.1</v>
      </c>
      <c r="AZ8" s="520">
        <v>2427.6</v>
      </c>
      <c r="BA8" s="520">
        <v>1674.4</v>
      </c>
      <c r="BB8" s="520">
        <v>4102</v>
      </c>
      <c r="BC8" s="520">
        <v>219520.3</v>
      </c>
      <c r="BD8" s="520">
        <f t="shared" ref="BD8:BD29" si="8">M8+BB8</f>
        <v>12556.7</v>
      </c>
      <c r="BE8" s="520">
        <v>69.099999999999994</v>
      </c>
      <c r="BF8" s="520">
        <v>4158.3</v>
      </c>
      <c r="BG8" s="520">
        <v>398.7</v>
      </c>
      <c r="BH8" s="520">
        <v>6628.6</v>
      </c>
      <c r="BI8" s="520">
        <f t="shared" ref="BI8:BI17" si="9">BE8+BF8+BG8+BH8</f>
        <v>11254.7</v>
      </c>
      <c r="BJ8" s="519" t="s">
        <v>1197</v>
      </c>
      <c r="BK8" s="520"/>
      <c r="BL8" s="522">
        <v>27.05</v>
      </c>
      <c r="BM8" s="522">
        <v>7.15</v>
      </c>
      <c r="BN8" s="522">
        <v>12.15</v>
      </c>
      <c r="BO8" s="522">
        <v>13.68</v>
      </c>
      <c r="BP8" s="522">
        <v>10.82</v>
      </c>
      <c r="BQ8" s="522">
        <v>3.6</v>
      </c>
      <c r="BR8" s="522">
        <v>125703.12</v>
      </c>
      <c r="BS8" s="523">
        <v>9515976</v>
      </c>
      <c r="BT8" s="524">
        <v>5911</v>
      </c>
      <c r="BU8" s="524">
        <v>3619</v>
      </c>
      <c r="BV8" s="522">
        <v>101.21</v>
      </c>
      <c r="BW8" s="522">
        <v>7.89</v>
      </c>
      <c r="BX8" s="525">
        <v>7.98</v>
      </c>
      <c r="BY8" s="525">
        <v>10.68</v>
      </c>
      <c r="BZ8" s="522">
        <v>7.5</v>
      </c>
      <c r="CA8" s="522">
        <v>6.67</v>
      </c>
      <c r="CB8" s="525">
        <v>13.69</v>
      </c>
      <c r="CC8" s="526">
        <f t="shared" ref="CC8:CC19" si="10">CB8-CA8</f>
        <v>7.02</v>
      </c>
      <c r="CD8" s="520" t="s">
        <v>836</v>
      </c>
      <c r="CE8" s="922" t="s">
        <v>836</v>
      </c>
      <c r="CF8" s="923" t="s">
        <v>836</v>
      </c>
    </row>
    <row r="9" spans="2:84" s="25" customFormat="1" ht="9.9499999999999993" hidden="1" customHeight="1">
      <c r="I9" s="423" t="s">
        <v>1198</v>
      </c>
      <c r="J9" s="424"/>
      <c r="K9" s="424">
        <v>8852.2000000000007</v>
      </c>
      <c r="L9" s="424">
        <v>224.4</v>
      </c>
      <c r="M9" s="424">
        <f t="shared" si="0"/>
        <v>9076.6</v>
      </c>
      <c r="N9" s="424">
        <v>923.3</v>
      </c>
      <c r="O9" s="424">
        <f t="shared" si="1"/>
        <v>8153.3</v>
      </c>
      <c r="P9" s="424">
        <v>1800</v>
      </c>
      <c r="Q9" s="424">
        <v>4172.6000000000004</v>
      </c>
      <c r="R9" s="424">
        <v>7735.2</v>
      </c>
      <c r="S9" s="424">
        <v>39980.5</v>
      </c>
      <c r="T9" s="425">
        <f t="shared" ref="T9:T19" si="11">R9+S9</f>
        <v>47715.7</v>
      </c>
      <c r="U9" s="425">
        <f t="shared" ref="U9:U19" si="12">Q9+T9</f>
        <v>51888.299999999996</v>
      </c>
      <c r="V9" s="424" t="s">
        <v>836</v>
      </c>
      <c r="W9" s="424">
        <f>O9+R9</f>
        <v>15888.5</v>
      </c>
      <c r="X9" s="424">
        <f t="shared" si="2"/>
        <v>55869</v>
      </c>
      <c r="Y9" s="424">
        <v>1264.3</v>
      </c>
      <c r="Z9" s="424">
        <f t="shared" si="3"/>
        <v>57133.3</v>
      </c>
      <c r="AA9" s="423" t="s">
        <v>1198</v>
      </c>
      <c r="AB9" s="424">
        <v>0</v>
      </c>
      <c r="AC9" s="424">
        <v>4780.3999999999996</v>
      </c>
      <c r="AD9" s="424">
        <v>41621.699999999997</v>
      </c>
      <c r="AE9" s="424">
        <f t="shared" si="4"/>
        <v>46402.1</v>
      </c>
      <c r="AF9" s="424">
        <v>0</v>
      </c>
      <c r="AG9" s="424">
        <v>78</v>
      </c>
      <c r="AH9" s="424">
        <v>1932.5</v>
      </c>
      <c r="AI9" s="424">
        <f t="shared" si="5"/>
        <v>2010.5</v>
      </c>
      <c r="AJ9" s="424">
        <v>19.899999999999999</v>
      </c>
      <c r="AK9" s="424">
        <v>8383.2000000000007</v>
      </c>
      <c r="AL9" s="424">
        <v>635.79999999999995</v>
      </c>
      <c r="AM9" s="424">
        <f t="shared" si="6"/>
        <v>9019</v>
      </c>
      <c r="AN9" s="425">
        <f t="shared" si="7"/>
        <v>19.899999999999999</v>
      </c>
      <c r="AO9" s="425">
        <f t="shared" si="7"/>
        <v>13241.6</v>
      </c>
      <c r="AP9" s="425">
        <f t="shared" si="7"/>
        <v>44190</v>
      </c>
      <c r="AQ9" s="425">
        <f t="shared" si="7"/>
        <v>57431.6</v>
      </c>
      <c r="AR9" s="423" t="s">
        <v>1198</v>
      </c>
      <c r="AS9" s="424">
        <v>710.7</v>
      </c>
      <c r="AT9" s="424">
        <v>4041.4</v>
      </c>
      <c r="AU9" s="424">
        <v>1020.9</v>
      </c>
      <c r="AV9" s="424" t="s">
        <v>836</v>
      </c>
      <c r="AW9" s="424">
        <v>51887.8</v>
      </c>
      <c r="AX9" s="424">
        <v>2449.9</v>
      </c>
      <c r="AY9" s="424">
        <f>AW9+AX9</f>
        <v>54337.700000000004</v>
      </c>
      <c r="AZ9" s="424">
        <v>2716.9</v>
      </c>
      <c r="BA9" s="424">
        <v>2002.1</v>
      </c>
      <c r="BB9" s="424">
        <v>4719</v>
      </c>
      <c r="BC9" s="424">
        <v>246006</v>
      </c>
      <c r="BD9" s="424">
        <f t="shared" si="8"/>
        <v>13795.6</v>
      </c>
      <c r="BE9" s="424">
        <v>69.099999999999994</v>
      </c>
      <c r="BF9" s="424">
        <v>4964.5</v>
      </c>
      <c r="BG9" s="424">
        <v>516</v>
      </c>
      <c r="BH9" s="424">
        <v>7633.2</v>
      </c>
      <c r="BI9" s="424">
        <f t="shared" si="9"/>
        <v>13182.8</v>
      </c>
      <c r="BJ9" s="423" t="s">
        <v>1198</v>
      </c>
      <c r="BK9" s="424"/>
      <c r="BL9" s="412">
        <v>15.65</v>
      </c>
      <c r="BM9" s="412">
        <v>6.4</v>
      </c>
      <c r="BN9" s="412">
        <v>12.99</v>
      </c>
      <c r="BO9" s="412">
        <v>12.64</v>
      </c>
      <c r="BP9" s="412">
        <v>10.17</v>
      </c>
      <c r="BQ9" s="412">
        <v>3.6</v>
      </c>
      <c r="BR9" s="412">
        <v>128746.73</v>
      </c>
      <c r="BS9" s="426">
        <v>9202058</v>
      </c>
      <c r="BT9" s="427">
        <v>5952</v>
      </c>
      <c r="BU9" s="427">
        <v>3617</v>
      </c>
      <c r="BV9" s="412">
        <v>102.33</v>
      </c>
      <c r="BW9" s="412">
        <v>8.7200000000000006</v>
      </c>
      <c r="BX9" s="411">
        <v>8.92</v>
      </c>
      <c r="BY9" s="411">
        <v>10.87</v>
      </c>
      <c r="BZ9" s="412">
        <v>8</v>
      </c>
      <c r="CA9" s="412">
        <v>7.07</v>
      </c>
      <c r="CB9" s="411">
        <v>14.02</v>
      </c>
      <c r="CC9" s="413">
        <f t="shared" si="10"/>
        <v>6.9499999999999993</v>
      </c>
      <c r="CD9" s="424" t="s">
        <v>836</v>
      </c>
      <c r="CE9" s="428" t="s">
        <v>836</v>
      </c>
      <c r="CF9" s="25" t="s">
        <v>836</v>
      </c>
    </row>
    <row r="10" spans="2:84" s="25" customFormat="1" ht="9.9499999999999993" customHeight="1">
      <c r="C10" s="28"/>
      <c r="D10" s="28"/>
      <c r="E10" s="28"/>
      <c r="F10" s="28"/>
      <c r="G10" s="28"/>
      <c r="I10" s="519" t="s">
        <v>1199</v>
      </c>
      <c r="J10" s="520"/>
      <c r="K10" s="520">
        <v>9478.6</v>
      </c>
      <c r="L10" s="520">
        <v>234.9</v>
      </c>
      <c r="M10" s="520">
        <f t="shared" si="0"/>
        <v>9713.5</v>
      </c>
      <c r="N10" s="520">
        <v>1026.9000000000001</v>
      </c>
      <c r="O10" s="520">
        <f t="shared" si="1"/>
        <v>8686.6</v>
      </c>
      <c r="P10" s="520">
        <v>2636.1</v>
      </c>
      <c r="Q10" s="520">
        <v>4891.6000000000004</v>
      </c>
      <c r="R10" s="520">
        <v>8562.7999999999993</v>
      </c>
      <c r="S10" s="520">
        <v>45777.3</v>
      </c>
      <c r="T10" s="521">
        <f t="shared" si="11"/>
        <v>54340.100000000006</v>
      </c>
      <c r="U10" s="521">
        <f t="shared" si="12"/>
        <v>59231.700000000004</v>
      </c>
      <c r="V10" s="520" t="s">
        <v>836</v>
      </c>
      <c r="W10" s="520">
        <f>O10+R10</f>
        <v>17249.400000000001</v>
      </c>
      <c r="X10" s="520">
        <f t="shared" si="2"/>
        <v>63026.700000000004</v>
      </c>
      <c r="Y10" s="520">
        <v>1057.0999999999999</v>
      </c>
      <c r="Z10" s="520">
        <f t="shared" si="3"/>
        <v>64083.8</v>
      </c>
      <c r="AA10" s="519" t="s">
        <v>1199</v>
      </c>
      <c r="AB10" s="520">
        <v>22.5</v>
      </c>
      <c r="AC10" s="520">
        <v>5008.1000000000004</v>
      </c>
      <c r="AD10" s="520">
        <v>47569.7</v>
      </c>
      <c r="AE10" s="520">
        <f t="shared" si="4"/>
        <v>52577.799999999996</v>
      </c>
      <c r="AF10" s="520">
        <v>0</v>
      </c>
      <c r="AG10" s="520">
        <v>99.1</v>
      </c>
      <c r="AH10" s="520">
        <v>1941.1</v>
      </c>
      <c r="AI10" s="520">
        <f t="shared" si="5"/>
        <v>2040.1999999999998</v>
      </c>
      <c r="AJ10" s="520">
        <v>26.6</v>
      </c>
      <c r="AK10" s="520">
        <v>9633</v>
      </c>
      <c r="AL10" s="520">
        <v>805.5</v>
      </c>
      <c r="AM10" s="520">
        <f t="shared" si="6"/>
        <v>10438.5</v>
      </c>
      <c r="AN10" s="521">
        <f t="shared" si="7"/>
        <v>49.1</v>
      </c>
      <c r="AO10" s="521">
        <f t="shared" si="7"/>
        <v>14740.2</v>
      </c>
      <c r="AP10" s="521">
        <f t="shared" si="7"/>
        <v>50316.299999999996</v>
      </c>
      <c r="AQ10" s="521">
        <f t="shared" si="7"/>
        <v>65056.499999999993</v>
      </c>
      <c r="AR10" s="519" t="s">
        <v>1199</v>
      </c>
      <c r="AS10" s="520">
        <v>671.2</v>
      </c>
      <c r="AT10" s="520">
        <v>4956.2</v>
      </c>
      <c r="AU10" s="520">
        <v>1106.2</v>
      </c>
      <c r="AV10" s="520">
        <v>48.4</v>
      </c>
      <c r="AW10" s="520">
        <v>59231</v>
      </c>
      <c r="AX10" s="520">
        <v>2562</v>
      </c>
      <c r="AY10" s="520">
        <f>AW10+AX10</f>
        <v>61793</v>
      </c>
      <c r="AZ10" s="520">
        <v>3089.7</v>
      </c>
      <c r="BA10" s="520">
        <v>2611.3000000000002</v>
      </c>
      <c r="BB10" s="520">
        <v>5701</v>
      </c>
      <c r="BC10" s="520">
        <v>281594.09999999998</v>
      </c>
      <c r="BD10" s="520">
        <f t="shared" si="8"/>
        <v>15414.5</v>
      </c>
      <c r="BE10" s="520">
        <v>69.099999999999994</v>
      </c>
      <c r="BF10" s="520">
        <v>6027.5</v>
      </c>
      <c r="BG10" s="520">
        <v>866.8</v>
      </c>
      <c r="BH10" s="520">
        <v>8929.2999999999993</v>
      </c>
      <c r="BI10" s="520">
        <f t="shared" si="9"/>
        <v>15892.7</v>
      </c>
      <c r="BJ10" s="519" t="s">
        <v>1199</v>
      </c>
      <c r="BK10" s="520"/>
      <c r="BL10" s="522">
        <v>21.32</v>
      </c>
      <c r="BM10" s="522">
        <v>-3.67</v>
      </c>
      <c r="BN10" s="522">
        <v>13.76</v>
      </c>
      <c r="BO10" s="522">
        <v>13.06</v>
      </c>
      <c r="BP10" s="522">
        <v>12.81</v>
      </c>
      <c r="BQ10" s="522">
        <v>3.5</v>
      </c>
      <c r="BR10" s="522">
        <v>144350.89000000001</v>
      </c>
      <c r="BS10" s="523">
        <v>9303219</v>
      </c>
      <c r="BT10" s="524">
        <v>5983</v>
      </c>
      <c r="BU10" s="524">
        <v>3616</v>
      </c>
      <c r="BV10" s="522">
        <v>101.23</v>
      </c>
      <c r="BW10" s="522">
        <v>9.9</v>
      </c>
      <c r="BX10" s="525">
        <v>10.02</v>
      </c>
      <c r="BY10" s="525">
        <v>11.36</v>
      </c>
      <c r="BZ10" s="522">
        <v>8</v>
      </c>
      <c r="CA10" s="522">
        <v>7.28</v>
      </c>
      <c r="CB10" s="525">
        <v>14.16</v>
      </c>
      <c r="CC10" s="526">
        <f t="shared" si="10"/>
        <v>6.88</v>
      </c>
      <c r="CD10" s="520" t="s">
        <v>836</v>
      </c>
      <c r="CE10" s="922" t="s">
        <v>836</v>
      </c>
      <c r="CF10" s="923" t="s">
        <v>836</v>
      </c>
    </row>
    <row r="11" spans="2:84" s="25" customFormat="1" ht="9.9499999999999993" customHeight="1">
      <c r="B11" s="28"/>
      <c r="C11" s="28"/>
      <c r="D11" s="28"/>
      <c r="E11" s="28"/>
      <c r="F11" s="28"/>
      <c r="G11" s="28"/>
      <c r="I11" s="423" t="s">
        <v>1200</v>
      </c>
      <c r="J11" s="424"/>
      <c r="K11" s="424">
        <v>11034.6</v>
      </c>
      <c r="L11" s="424">
        <v>229.8</v>
      </c>
      <c r="M11" s="424">
        <f t="shared" si="0"/>
        <v>11264.4</v>
      </c>
      <c r="N11" s="424">
        <v>1088.4000000000001</v>
      </c>
      <c r="O11" s="424">
        <f t="shared" si="1"/>
        <v>10176</v>
      </c>
      <c r="P11" s="424">
        <v>3880.7</v>
      </c>
      <c r="Q11" s="424">
        <v>5615.2</v>
      </c>
      <c r="R11" s="424">
        <v>9705.2999999999993</v>
      </c>
      <c r="S11" s="424">
        <v>54881.1</v>
      </c>
      <c r="T11" s="425">
        <f t="shared" si="11"/>
        <v>64586.399999999994</v>
      </c>
      <c r="U11" s="425">
        <f t="shared" si="12"/>
        <v>70201.599999999991</v>
      </c>
      <c r="V11" s="424" t="s">
        <v>836</v>
      </c>
      <c r="W11" s="424">
        <f>O11+R11</f>
        <v>19881.3</v>
      </c>
      <c r="X11" s="424">
        <f t="shared" si="2"/>
        <v>74762.399999999994</v>
      </c>
      <c r="Y11" s="424">
        <v>967</v>
      </c>
      <c r="Z11" s="424">
        <f t="shared" si="3"/>
        <v>75729.399999999994</v>
      </c>
      <c r="AA11" s="423" t="s">
        <v>1200</v>
      </c>
      <c r="AB11" s="424">
        <v>7</v>
      </c>
      <c r="AC11" s="424">
        <v>5093.1000000000004</v>
      </c>
      <c r="AD11" s="424">
        <v>52823.5</v>
      </c>
      <c r="AE11" s="424">
        <f t="shared" si="4"/>
        <v>57916.6</v>
      </c>
      <c r="AF11" s="424">
        <v>0</v>
      </c>
      <c r="AG11" s="424">
        <v>64</v>
      </c>
      <c r="AH11" s="424">
        <v>2206.8000000000002</v>
      </c>
      <c r="AI11" s="424">
        <f t="shared" si="5"/>
        <v>2270.8000000000002</v>
      </c>
      <c r="AJ11" s="424">
        <v>35.6</v>
      </c>
      <c r="AK11" s="424">
        <v>12338.1</v>
      </c>
      <c r="AL11" s="424">
        <v>589.79999999999995</v>
      </c>
      <c r="AM11" s="424">
        <f t="shared" si="6"/>
        <v>12927.9</v>
      </c>
      <c r="AN11" s="425">
        <f t="shared" si="7"/>
        <v>42.6</v>
      </c>
      <c r="AO11" s="425">
        <f t="shared" si="7"/>
        <v>17495.2</v>
      </c>
      <c r="AP11" s="425">
        <f t="shared" si="7"/>
        <v>55620.100000000006</v>
      </c>
      <c r="AQ11" s="425">
        <f t="shared" si="7"/>
        <v>73115.3</v>
      </c>
      <c r="AR11" s="423" t="s">
        <v>1200</v>
      </c>
      <c r="AS11" s="424">
        <v>590.4</v>
      </c>
      <c r="AT11" s="424">
        <v>4566.1000000000004</v>
      </c>
      <c r="AU11" s="424">
        <v>1509.1</v>
      </c>
      <c r="AV11" s="424">
        <v>19.8</v>
      </c>
      <c r="AW11" s="424">
        <v>70275.899999999994</v>
      </c>
      <c r="AX11" s="424">
        <v>2933.2</v>
      </c>
      <c r="AY11" s="424">
        <f>AW11+AX11</f>
        <v>73209.099999999991</v>
      </c>
      <c r="AZ11" s="424">
        <v>2928.4</v>
      </c>
      <c r="BA11" s="424">
        <v>2906.6</v>
      </c>
      <c r="BB11" s="424">
        <v>5835</v>
      </c>
      <c r="BC11" s="424">
        <v>326422.2</v>
      </c>
      <c r="BD11" s="424">
        <f t="shared" si="8"/>
        <v>17099.400000000001</v>
      </c>
      <c r="BE11" s="424">
        <v>69.099999999999994</v>
      </c>
      <c r="BF11" s="424">
        <v>7765.8</v>
      </c>
      <c r="BG11" s="424">
        <v>633</v>
      </c>
      <c r="BH11" s="424">
        <v>11657.2</v>
      </c>
      <c r="BI11" s="424">
        <f t="shared" si="9"/>
        <v>20125.100000000002</v>
      </c>
      <c r="BJ11" s="423" t="s">
        <v>1200</v>
      </c>
      <c r="BK11" s="424"/>
      <c r="BL11" s="412">
        <v>31.33</v>
      </c>
      <c r="BM11" s="412">
        <v>2.5</v>
      </c>
      <c r="BN11" s="412">
        <v>10.75</v>
      </c>
      <c r="BO11" s="412">
        <v>13.64</v>
      </c>
      <c r="BP11" s="412">
        <v>18.62</v>
      </c>
      <c r="BQ11" s="412">
        <v>3.2</v>
      </c>
      <c r="BR11" s="412">
        <v>163405.96</v>
      </c>
      <c r="BS11" s="426">
        <v>9815697</v>
      </c>
      <c r="BT11" s="427">
        <v>6056</v>
      </c>
      <c r="BU11" s="427">
        <v>3607</v>
      </c>
      <c r="BV11" s="412">
        <v>96.26</v>
      </c>
      <c r="BW11" s="412">
        <v>11.59</v>
      </c>
      <c r="BX11" s="411">
        <v>11.16</v>
      </c>
      <c r="BY11" s="411">
        <v>9.86</v>
      </c>
      <c r="BZ11" s="412">
        <v>7</v>
      </c>
      <c r="CA11" s="412">
        <v>7.21</v>
      </c>
      <c r="CB11" s="411">
        <v>13.86</v>
      </c>
      <c r="CC11" s="413">
        <f t="shared" si="10"/>
        <v>6.6499999999999995</v>
      </c>
      <c r="CD11" s="424" t="s">
        <v>836</v>
      </c>
      <c r="CE11" s="428" t="s">
        <v>836</v>
      </c>
      <c r="CF11" s="25" t="s">
        <v>836</v>
      </c>
    </row>
    <row r="12" spans="2:84" s="25" customFormat="1" ht="9.9499999999999993" customHeight="1">
      <c r="B12" s="28"/>
      <c r="C12" s="28"/>
      <c r="D12" s="28"/>
      <c r="E12" s="28"/>
      <c r="F12" s="28"/>
      <c r="G12" s="28"/>
      <c r="I12" s="519" t="s">
        <v>1201</v>
      </c>
      <c r="J12" s="520"/>
      <c r="K12" s="520">
        <v>12547</v>
      </c>
      <c r="L12" s="520">
        <v>285.8</v>
      </c>
      <c r="M12" s="520">
        <f>K12+L12</f>
        <v>12832.8</v>
      </c>
      <c r="N12" s="520">
        <v>1354.5</v>
      </c>
      <c r="O12" s="520">
        <f>M12-N12</f>
        <v>11478.3</v>
      </c>
      <c r="P12" s="520" t="s">
        <v>994</v>
      </c>
      <c r="Q12" s="520" t="s">
        <v>995</v>
      </c>
      <c r="R12" s="520">
        <v>10869.1</v>
      </c>
      <c r="S12" s="520" t="s">
        <v>996</v>
      </c>
      <c r="T12" s="521">
        <v>75695.899999999994</v>
      </c>
      <c r="U12" s="521">
        <v>81604.399999999994</v>
      </c>
      <c r="V12" s="520" t="s">
        <v>836</v>
      </c>
      <c r="W12" s="520">
        <v>22347.4</v>
      </c>
      <c r="X12" s="520">
        <v>87174.1</v>
      </c>
      <c r="Y12" s="520" t="s">
        <v>997</v>
      </c>
      <c r="Z12" s="520">
        <v>88213.3</v>
      </c>
      <c r="AA12" s="519" t="s">
        <v>1201</v>
      </c>
      <c r="AB12" s="520">
        <v>0</v>
      </c>
      <c r="AC12" s="520">
        <v>5537.1</v>
      </c>
      <c r="AD12" s="520">
        <v>61553.8</v>
      </c>
      <c r="AE12" s="520">
        <f t="shared" si="4"/>
        <v>67090.900000000009</v>
      </c>
      <c r="AF12" s="520">
        <v>0</v>
      </c>
      <c r="AG12" s="520">
        <v>1016.9</v>
      </c>
      <c r="AH12" s="520" t="s">
        <v>372</v>
      </c>
      <c r="AI12" s="520">
        <v>3523.6</v>
      </c>
      <c r="AJ12" s="520" t="s">
        <v>373</v>
      </c>
      <c r="AK12" s="520" t="s">
        <v>374</v>
      </c>
      <c r="AL12" s="520" t="s">
        <v>375</v>
      </c>
      <c r="AM12" s="520">
        <v>13940.4</v>
      </c>
      <c r="AN12" s="521">
        <v>34.5</v>
      </c>
      <c r="AO12" s="521">
        <v>19883.5</v>
      </c>
      <c r="AP12" s="521">
        <v>64671.3</v>
      </c>
      <c r="AQ12" s="521">
        <f t="shared" si="7"/>
        <v>84554.900000000009</v>
      </c>
      <c r="AR12" s="519" t="s">
        <v>1201</v>
      </c>
      <c r="AS12" s="520" t="s">
        <v>819</v>
      </c>
      <c r="AT12" s="520" t="s">
        <v>376</v>
      </c>
      <c r="AU12" s="520" t="s">
        <v>377</v>
      </c>
      <c r="AV12" s="520" t="s">
        <v>836</v>
      </c>
      <c r="AW12" s="520" t="s">
        <v>378</v>
      </c>
      <c r="AX12" s="520" t="s">
        <v>379</v>
      </c>
      <c r="AY12" s="520">
        <v>84765</v>
      </c>
      <c r="AZ12" s="520" t="s">
        <v>380</v>
      </c>
      <c r="BA12" s="520" t="s">
        <v>381</v>
      </c>
      <c r="BB12" s="520">
        <v>6661.6</v>
      </c>
      <c r="BC12" s="520" t="s">
        <v>383</v>
      </c>
      <c r="BD12" s="520">
        <f>M12+BB12</f>
        <v>19494.400000000001</v>
      </c>
      <c r="BE12" s="520" t="s">
        <v>1380</v>
      </c>
      <c r="BF12" s="520" t="s">
        <v>384</v>
      </c>
      <c r="BG12" s="520" t="s">
        <v>385</v>
      </c>
      <c r="BH12" s="520" t="s">
        <v>386</v>
      </c>
      <c r="BI12" s="520">
        <v>23247.5</v>
      </c>
      <c r="BJ12" s="519" t="s">
        <v>1201</v>
      </c>
      <c r="BK12" s="520"/>
      <c r="BL12" s="522" t="s">
        <v>343</v>
      </c>
      <c r="BM12" s="522" t="s">
        <v>344</v>
      </c>
      <c r="BN12" s="522" t="s">
        <v>345</v>
      </c>
      <c r="BO12" s="522" t="s">
        <v>346</v>
      </c>
      <c r="BP12" s="522" t="s">
        <v>347</v>
      </c>
      <c r="BQ12" s="527" t="s">
        <v>339</v>
      </c>
      <c r="BR12" s="522" t="s">
        <v>348</v>
      </c>
      <c r="BS12" s="523" t="s">
        <v>421</v>
      </c>
      <c r="BT12" s="524" t="s">
        <v>823</v>
      </c>
      <c r="BU12" s="524" t="s">
        <v>478</v>
      </c>
      <c r="BV12" s="522" t="s">
        <v>349</v>
      </c>
      <c r="BW12" s="522" t="s">
        <v>350</v>
      </c>
      <c r="BX12" s="525" t="s">
        <v>351</v>
      </c>
      <c r="BY12" s="525" t="s">
        <v>352</v>
      </c>
      <c r="BZ12" s="522">
        <v>7</v>
      </c>
      <c r="CA12" s="522">
        <v>7.03</v>
      </c>
      <c r="CB12" s="525">
        <v>13.75</v>
      </c>
      <c r="CC12" s="526">
        <f t="shared" si="10"/>
        <v>6.72</v>
      </c>
      <c r="CD12" s="520" t="s">
        <v>836</v>
      </c>
      <c r="CE12" s="922" t="s">
        <v>836</v>
      </c>
      <c r="CF12" s="923" t="s">
        <v>836</v>
      </c>
    </row>
    <row r="13" spans="2:84" s="430" customFormat="1" ht="9.9499999999999993" customHeight="1">
      <c r="B13" s="429"/>
      <c r="C13" s="429"/>
      <c r="D13" s="429"/>
      <c r="E13" s="429"/>
      <c r="F13" s="429"/>
      <c r="G13" s="429"/>
      <c r="I13" s="431" t="s">
        <v>1202</v>
      </c>
      <c r="J13" s="432"/>
      <c r="K13" s="432">
        <v>13581.6</v>
      </c>
      <c r="L13" s="432">
        <v>298.60000000000002</v>
      </c>
      <c r="M13" s="432">
        <f t="shared" si="0"/>
        <v>13880.2</v>
      </c>
      <c r="N13" s="432">
        <v>1348.8</v>
      </c>
      <c r="O13" s="432">
        <f t="shared" si="1"/>
        <v>12531.400000000001</v>
      </c>
      <c r="P13" s="432">
        <v>5576</v>
      </c>
      <c r="Q13" s="432">
        <v>5931</v>
      </c>
      <c r="R13" s="432">
        <v>11620.4</v>
      </c>
      <c r="S13" s="432">
        <v>74454.899999999994</v>
      </c>
      <c r="T13" s="433">
        <f t="shared" si="11"/>
        <v>86075.299999999988</v>
      </c>
      <c r="U13" s="433">
        <f t="shared" si="12"/>
        <v>92006.299999999988</v>
      </c>
      <c r="V13" s="432">
        <v>9.3000000000000007</v>
      </c>
      <c r="W13" s="432">
        <f t="shared" ref="W13:W19" si="13">O13+R13+V13</f>
        <v>24161.100000000002</v>
      </c>
      <c r="X13" s="432">
        <f t="shared" si="2"/>
        <v>98616</v>
      </c>
      <c r="Y13" s="432">
        <v>1385.4</v>
      </c>
      <c r="Z13" s="432">
        <f t="shared" si="3"/>
        <v>100001.4</v>
      </c>
      <c r="AA13" s="431" t="s">
        <v>1202</v>
      </c>
      <c r="AB13" s="432">
        <v>0</v>
      </c>
      <c r="AC13" s="432">
        <v>5696</v>
      </c>
      <c r="AD13" s="432">
        <v>70258</v>
      </c>
      <c r="AE13" s="432">
        <f t="shared" si="4"/>
        <v>75954</v>
      </c>
      <c r="AF13" s="432">
        <v>0</v>
      </c>
      <c r="AG13" s="432">
        <v>754.4</v>
      </c>
      <c r="AH13" s="432">
        <v>2884.7</v>
      </c>
      <c r="AI13" s="432">
        <f t="shared" si="5"/>
        <v>3639.1</v>
      </c>
      <c r="AJ13" s="432">
        <v>47.2</v>
      </c>
      <c r="AK13" s="432">
        <v>14055.9</v>
      </c>
      <c r="AL13" s="432">
        <v>403.3</v>
      </c>
      <c r="AM13" s="432">
        <f t="shared" si="6"/>
        <v>14459.199999999999</v>
      </c>
      <c r="AN13" s="433">
        <f t="shared" si="7"/>
        <v>47.2</v>
      </c>
      <c r="AO13" s="433">
        <f t="shared" si="7"/>
        <v>20506.3</v>
      </c>
      <c r="AP13" s="433">
        <f t="shared" si="7"/>
        <v>73546</v>
      </c>
      <c r="AQ13" s="433">
        <f t="shared" si="7"/>
        <v>94052.3</v>
      </c>
      <c r="AR13" s="431" t="s">
        <v>1202</v>
      </c>
      <c r="AS13" s="432">
        <v>602.4</v>
      </c>
      <c r="AT13" s="432">
        <v>4993.5</v>
      </c>
      <c r="AU13" s="432">
        <v>1368.6</v>
      </c>
      <c r="AV13" s="432">
        <v>7</v>
      </c>
      <c r="AW13" s="432">
        <v>92031.9</v>
      </c>
      <c r="AX13" s="432">
        <v>4029.6</v>
      </c>
      <c r="AY13" s="432">
        <f t="shared" ref="AY13:AY19" si="14">AW13+AX13</f>
        <v>96061.5</v>
      </c>
      <c r="AZ13" s="88">
        <f>AY13*0.04</f>
        <v>3842.46</v>
      </c>
      <c r="BA13" s="432">
        <f>BB13-AZ13</f>
        <v>2841.04</v>
      </c>
      <c r="BB13" s="88">
        <v>6683.5</v>
      </c>
      <c r="BC13" s="432">
        <v>413044.5</v>
      </c>
      <c r="BD13" s="432">
        <f t="shared" si="8"/>
        <v>20563.7</v>
      </c>
      <c r="BE13" s="432">
        <v>69.099999999999994</v>
      </c>
      <c r="BF13" s="432">
        <v>13189.2</v>
      </c>
      <c r="BG13" s="432">
        <v>1146.2</v>
      </c>
      <c r="BH13" s="432">
        <v>11840.5</v>
      </c>
      <c r="BI13" s="432">
        <f t="shared" si="9"/>
        <v>26245</v>
      </c>
      <c r="BJ13" s="431" t="s">
        <v>1202</v>
      </c>
      <c r="BK13" s="432"/>
      <c r="BL13" s="434">
        <v>14.07</v>
      </c>
      <c r="BM13" s="434">
        <v>-1.59</v>
      </c>
      <c r="BN13" s="434">
        <v>14.39</v>
      </c>
      <c r="BO13" s="434">
        <v>12.92</v>
      </c>
      <c r="BP13" s="434">
        <v>13.13</v>
      </c>
      <c r="BQ13" s="434">
        <v>2.8</v>
      </c>
      <c r="BR13" s="434">
        <v>231679.78</v>
      </c>
      <c r="BS13" s="435">
        <v>12617585</v>
      </c>
      <c r="BT13" s="436">
        <v>6278</v>
      </c>
      <c r="BU13" s="436">
        <v>3572</v>
      </c>
      <c r="BV13" s="434">
        <v>102.28</v>
      </c>
      <c r="BW13" s="434">
        <v>14.66</v>
      </c>
      <c r="BX13" s="437">
        <v>14.98</v>
      </c>
      <c r="BY13" s="437">
        <v>12.12</v>
      </c>
      <c r="BZ13" s="434">
        <v>6</v>
      </c>
      <c r="CA13" s="434">
        <v>6.74</v>
      </c>
      <c r="CB13" s="437">
        <v>13.16</v>
      </c>
      <c r="CC13" s="438">
        <f t="shared" si="10"/>
        <v>6.42</v>
      </c>
      <c r="CD13" s="424" t="s">
        <v>836</v>
      </c>
      <c r="CE13" s="428" t="s">
        <v>836</v>
      </c>
      <c r="CF13" s="25" t="s">
        <v>836</v>
      </c>
    </row>
    <row r="14" spans="2:84" s="25" customFormat="1" ht="9.9499999999999993" customHeight="1">
      <c r="B14" s="28"/>
      <c r="C14" s="28"/>
      <c r="D14" s="28"/>
      <c r="E14" s="28"/>
      <c r="F14" s="28"/>
      <c r="G14" s="28"/>
      <c r="I14" s="519" t="s">
        <v>1203</v>
      </c>
      <c r="J14" s="520"/>
      <c r="K14" s="520">
        <v>15024.4</v>
      </c>
      <c r="L14" s="520">
        <v>317.7</v>
      </c>
      <c r="M14" s="520">
        <f t="shared" si="0"/>
        <v>15342.1</v>
      </c>
      <c r="N14" s="520">
        <v>1440.5</v>
      </c>
      <c r="O14" s="520">
        <f t="shared" si="1"/>
        <v>13901.6</v>
      </c>
      <c r="P14" s="520">
        <v>4741.8999999999996</v>
      </c>
      <c r="Q14" s="520">
        <v>6494.8</v>
      </c>
      <c r="R14" s="520">
        <v>12827.9</v>
      </c>
      <c r="S14" s="520">
        <v>87251.1</v>
      </c>
      <c r="T14" s="521">
        <f t="shared" si="11"/>
        <v>100079</v>
      </c>
      <c r="U14" s="521">
        <f t="shared" si="12"/>
        <v>106573.8</v>
      </c>
      <c r="V14" s="520">
        <v>13.7</v>
      </c>
      <c r="W14" s="520">
        <f t="shared" si="13"/>
        <v>26743.200000000001</v>
      </c>
      <c r="X14" s="520">
        <f t="shared" si="2"/>
        <v>113994.3</v>
      </c>
      <c r="Y14" s="520">
        <v>2208</v>
      </c>
      <c r="Z14" s="520">
        <f t="shared" si="3"/>
        <v>116202.3</v>
      </c>
      <c r="AA14" s="519" t="s">
        <v>1203</v>
      </c>
      <c r="AB14" s="520">
        <v>0</v>
      </c>
      <c r="AC14" s="520">
        <v>5720.7</v>
      </c>
      <c r="AD14" s="520">
        <v>78850.8</v>
      </c>
      <c r="AE14" s="520">
        <f t="shared" si="4"/>
        <v>84571.5</v>
      </c>
      <c r="AF14" s="520">
        <v>0</v>
      </c>
      <c r="AG14" s="520">
        <v>874.8</v>
      </c>
      <c r="AH14" s="520">
        <v>3348.3</v>
      </c>
      <c r="AI14" s="520">
        <f t="shared" si="5"/>
        <v>4223.1000000000004</v>
      </c>
      <c r="AJ14" s="520">
        <v>59.3</v>
      </c>
      <c r="AK14" s="520">
        <v>18087.400000000001</v>
      </c>
      <c r="AL14" s="520">
        <v>686.8</v>
      </c>
      <c r="AM14" s="520">
        <f t="shared" si="6"/>
        <v>18774.2</v>
      </c>
      <c r="AN14" s="521">
        <f t="shared" si="7"/>
        <v>59.3</v>
      </c>
      <c r="AO14" s="521">
        <f t="shared" si="7"/>
        <v>24682.9</v>
      </c>
      <c r="AP14" s="521">
        <f t="shared" si="7"/>
        <v>82885.900000000009</v>
      </c>
      <c r="AQ14" s="521">
        <f t="shared" si="7"/>
        <v>107568.8</v>
      </c>
      <c r="AR14" s="519" t="s">
        <v>1203</v>
      </c>
      <c r="AS14" s="520">
        <v>578.70000000000005</v>
      </c>
      <c r="AT14" s="520">
        <v>4906.8999999999996</v>
      </c>
      <c r="AU14" s="520">
        <v>1349.1</v>
      </c>
      <c r="AV14" s="520" t="s">
        <v>836</v>
      </c>
      <c r="AW14" s="520">
        <v>106592.3</v>
      </c>
      <c r="AX14" s="520">
        <v>3174.6</v>
      </c>
      <c r="AY14" s="520">
        <f t="shared" si="14"/>
        <v>109766.90000000001</v>
      </c>
      <c r="AZ14" s="528">
        <f>AY14*0.04</f>
        <v>4390.6760000000004</v>
      </c>
      <c r="BA14" s="520">
        <f t="shared" ref="BA14:BA21" si="15">BB14-AZ14</f>
        <v>1694.8239999999996</v>
      </c>
      <c r="BB14" s="528">
        <v>6085.5</v>
      </c>
      <c r="BC14" s="520">
        <v>464314.6</v>
      </c>
      <c r="BD14" s="520">
        <f t="shared" si="8"/>
        <v>21427.599999999999</v>
      </c>
      <c r="BE14" s="520">
        <v>69.099999999999994</v>
      </c>
      <c r="BF14" s="520">
        <v>12475.7</v>
      </c>
      <c r="BG14" s="520">
        <v>1189.2</v>
      </c>
      <c r="BH14" s="520">
        <v>12162.7</v>
      </c>
      <c r="BI14" s="520">
        <f t="shared" si="9"/>
        <v>25896.700000000004</v>
      </c>
      <c r="BJ14" s="519" t="s">
        <v>1203</v>
      </c>
      <c r="BK14" s="520"/>
      <c r="BL14" s="522" t="s">
        <v>353</v>
      </c>
      <c r="BM14" s="522" t="s">
        <v>354</v>
      </c>
      <c r="BN14" s="522">
        <v>14.93</v>
      </c>
      <c r="BO14" s="522" t="s">
        <v>355</v>
      </c>
      <c r="BP14" s="522" t="s">
        <v>356</v>
      </c>
      <c r="BQ14" s="529" t="s">
        <v>340</v>
      </c>
      <c r="BR14" s="522" t="s">
        <v>357</v>
      </c>
      <c r="BS14" s="523" t="s">
        <v>422</v>
      </c>
      <c r="BT14" s="524" t="s">
        <v>821</v>
      </c>
      <c r="BU14" s="524" t="s">
        <v>479</v>
      </c>
      <c r="BV14" s="522">
        <v>101.1</v>
      </c>
      <c r="BW14" s="522" t="s">
        <v>358</v>
      </c>
      <c r="BX14" s="525" t="s">
        <v>359</v>
      </c>
      <c r="BY14" s="525" t="s">
        <v>360</v>
      </c>
      <c r="BZ14" s="522">
        <v>6</v>
      </c>
      <c r="CA14" s="522">
        <v>6.29</v>
      </c>
      <c r="CB14" s="525">
        <v>12.78</v>
      </c>
      <c r="CC14" s="526">
        <f t="shared" si="10"/>
        <v>6.4899999999999993</v>
      </c>
      <c r="CD14" s="520" t="s">
        <v>836</v>
      </c>
      <c r="CE14" s="922" t="s">
        <v>836</v>
      </c>
      <c r="CF14" s="923" t="s">
        <v>836</v>
      </c>
    </row>
    <row r="15" spans="2:84" s="25" customFormat="1" ht="9.9499999999999993" customHeight="1">
      <c r="B15" s="28"/>
      <c r="C15" s="28"/>
      <c r="D15" s="28"/>
      <c r="E15" s="28"/>
      <c r="F15" s="28"/>
      <c r="G15" s="28"/>
      <c r="I15" s="423" t="s">
        <v>1204</v>
      </c>
      <c r="J15" s="424"/>
      <c r="K15" s="424">
        <v>16942.2</v>
      </c>
      <c r="L15" s="424">
        <v>345.2</v>
      </c>
      <c r="M15" s="424">
        <f t="shared" si="0"/>
        <v>17287.400000000001</v>
      </c>
      <c r="N15" s="424">
        <v>1476.4</v>
      </c>
      <c r="O15" s="424">
        <f t="shared" si="1"/>
        <v>15811.000000000002</v>
      </c>
      <c r="P15" s="424">
        <v>4387</v>
      </c>
      <c r="Q15" s="424">
        <v>7400.6</v>
      </c>
      <c r="R15" s="424">
        <v>14612.6</v>
      </c>
      <c r="S15" s="424">
        <v>99273.7</v>
      </c>
      <c r="T15" s="425">
        <f t="shared" si="11"/>
        <v>113886.3</v>
      </c>
      <c r="U15" s="425">
        <f t="shared" si="12"/>
        <v>121286.90000000001</v>
      </c>
      <c r="V15" s="424">
        <v>24.4</v>
      </c>
      <c r="W15" s="424">
        <f t="shared" si="13"/>
        <v>30448.000000000004</v>
      </c>
      <c r="X15" s="424">
        <f t="shared" si="2"/>
        <v>129721.7</v>
      </c>
      <c r="Y15" s="424">
        <v>3399.5</v>
      </c>
      <c r="Z15" s="424">
        <f t="shared" si="3"/>
        <v>133121.20000000001</v>
      </c>
      <c r="AA15" s="423" t="s">
        <v>1204</v>
      </c>
      <c r="AB15" s="424">
        <v>2.1</v>
      </c>
      <c r="AC15" s="424">
        <v>6230.2</v>
      </c>
      <c r="AD15" s="424">
        <v>88774.7</v>
      </c>
      <c r="AE15" s="424">
        <f t="shared" si="4"/>
        <v>95004.9</v>
      </c>
      <c r="AF15" s="424">
        <v>25.3</v>
      </c>
      <c r="AG15" s="424">
        <v>1908.6</v>
      </c>
      <c r="AH15" s="424">
        <v>5124.6000000000004</v>
      </c>
      <c r="AI15" s="424">
        <f t="shared" si="5"/>
        <v>7033.2000000000007</v>
      </c>
      <c r="AJ15" s="424">
        <v>378.9</v>
      </c>
      <c r="AK15" s="424">
        <v>17122.8</v>
      </c>
      <c r="AL15" s="424">
        <v>728.7</v>
      </c>
      <c r="AM15" s="424">
        <f t="shared" si="6"/>
        <v>17851.5</v>
      </c>
      <c r="AN15" s="425">
        <f t="shared" si="7"/>
        <v>406.29999999999995</v>
      </c>
      <c r="AO15" s="425">
        <f t="shared" si="7"/>
        <v>25261.599999999999</v>
      </c>
      <c r="AP15" s="425">
        <f t="shared" si="7"/>
        <v>94628</v>
      </c>
      <c r="AQ15" s="425">
        <f t="shared" si="7"/>
        <v>119889.59999999999</v>
      </c>
      <c r="AR15" s="423" t="s">
        <v>1204</v>
      </c>
      <c r="AS15" s="424">
        <v>622.29999999999995</v>
      </c>
      <c r="AT15" s="424">
        <v>5382</v>
      </c>
      <c r="AU15" s="424">
        <v>1932.9</v>
      </c>
      <c r="AV15" s="424">
        <v>63.5</v>
      </c>
      <c r="AW15" s="424">
        <v>121256</v>
      </c>
      <c r="AX15" s="424">
        <v>2657.8</v>
      </c>
      <c r="AY15" s="424">
        <f t="shared" si="14"/>
        <v>123913.8</v>
      </c>
      <c r="AZ15" s="36">
        <f>AY15*0.04</f>
        <v>4956.5520000000006</v>
      </c>
      <c r="BA15" s="424">
        <f t="shared" si="15"/>
        <v>1602.0479999999998</v>
      </c>
      <c r="BB15" s="36">
        <v>6558.6</v>
      </c>
      <c r="BC15" s="424">
        <v>514084.9</v>
      </c>
      <c r="BD15" s="424">
        <f t="shared" si="8"/>
        <v>23846</v>
      </c>
      <c r="BE15" s="424">
        <v>89</v>
      </c>
      <c r="BF15" s="424">
        <v>11379.9</v>
      </c>
      <c r="BG15" s="424">
        <v>948.6</v>
      </c>
      <c r="BH15" s="424">
        <v>15142.8</v>
      </c>
      <c r="BI15" s="424">
        <f t="shared" si="9"/>
        <v>27560.3</v>
      </c>
      <c r="BJ15" s="423" t="s">
        <v>1204</v>
      </c>
      <c r="BK15" s="424"/>
      <c r="BL15" s="412">
        <v>6.8</v>
      </c>
      <c r="BM15" s="412" t="s">
        <v>361</v>
      </c>
      <c r="BN15" s="412" t="s">
        <v>362</v>
      </c>
      <c r="BO15" s="412" t="s">
        <v>1311</v>
      </c>
      <c r="BP15" s="412" t="s">
        <v>1312</v>
      </c>
      <c r="BQ15" s="412">
        <v>2.6</v>
      </c>
      <c r="BR15" s="412">
        <v>267354.61</v>
      </c>
      <c r="BS15" s="426">
        <v>14790330</v>
      </c>
      <c r="BT15" s="427" t="s">
        <v>822</v>
      </c>
      <c r="BU15" s="411" t="s">
        <v>363</v>
      </c>
      <c r="BV15" s="412" t="s">
        <v>1124</v>
      </c>
      <c r="BW15" s="412" t="s">
        <v>364</v>
      </c>
      <c r="BX15" s="411" t="s">
        <v>365</v>
      </c>
      <c r="BY15" s="411" t="s">
        <v>371</v>
      </c>
      <c r="BZ15" s="412">
        <v>5</v>
      </c>
      <c r="CA15" s="412">
        <v>5.65</v>
      </c>
      <c r="CB15" s="411">
        <v>11.01</v>
      </c>
      <c r="CC15" s="413">
        <f t="shared" si="10"/>
        <v>5.3599999999999994</v>
      </c>
      <c r="CD15" s="424" t="s">
        <v>836</v>
      </c>
      <c r="CE15" s="428" t="s">
        <v>836</v>
      </c>
      <c r="CF15" s="25" t="s">
        <v>836</v>
      </c>
    </row>
    <row r="16" spans="2:84" s="25" customFormat="1" ht="9.9499999999999993" customHeight="1">
      <c r="C16" s="859"/>
      <c r="D16" s="859"/>
      <c r="E16" s="859"/>
      <c r="F16" s="859"/>
      <c r="G16" s="859"/>
      <c r="I16" s="519" t="s">
        <v>1205</v>
      </c>
      <c r="J16" s="520"/>
      <c r="K16" s="520">
        <v>19965.900000000001</v>
      </c>
      <c r="L16" s="520">
        <v>362</v>
      </c>
      <c r="M16" s="520">
        <f t="shared" si="0"/>
        <v>20327.900000000001</v>
      </c>
      <c r="N16" s="520">
        <v>1809.8</v>
      </c>
      <c r="O16" s="520">
        <f t="shared" si="1"/>
        <v>18518.100000000002</v>
      </c>
      <c r="P16" s="520">
        <v>4329.8</v>
      </c>
      <c r="Q16" s="520">
        <v>9693.2999999999993</v>
      </c>
      <c r="R16" s="520">
        <v>16849.900000000001</v>
      </c>
      <c r="S16" s="520">
        <v>116042.3</v>
      </c>
      <c r="T16" s="521">
        <f>R16+S16</f>
        <v>132892.20000000001</v>
      </c>
      <c r="U16" s="521">
        <f t="shared" si="12"/>
        <v>142585.5</v>
      </c>
      <c r="V16" s="520">
        <v>36.1</v>
      </c>
      <c r="W16" s="520">
        <f t="shared" si="13"/>
        <v>35404.1</v>
      </c>
      <c r="X16" s="520">
        <f t="shared" si="2"/>
        <v>151446.39999999999</v>
      </c>
      <c r="Y16" s="520">
        <v>4660.2</v>
      </c>
      <c r="Z16" s="520">
        <f t="shared" si="3"/>
        <v>156106.6</v>
      </c>
      <c r="AA16" s="519" t="s">
        <v>1205</v>
      </c>
      <c r="AB16" s="520">
        <v>0</v>
      </c>
      <c r="AC16" s="520">
        <v>6740.2</v>
      </c>
      <c r="AD16" s="520">
        <v>104730.8</v>
      </c>
      <c r="AE16" s="520">
        <f t="shared" si="4"/>
        <v>111471</v>
      </c>
      <c r="AF16" s="520">
        <v>0</v>
      </c>
      <c r="AG16" s="520">
        <v>3065.7</v>
      </c>
      <c r="AH16" s="520">
        <v>5229.7</v>
      </c>
      <c r="AI16" s="520">
        <f t="shared" si="5"/>
        <v>8295.4</v>
      </c>
      <c r="AJ16" s="520">
        <v>270.89999999999998</v>
      </c>
      <c r="AK16" s="520">
        <v>19929.400000000001</v>
      </c>
      <c r="AL16" s="520">
        <v>713.5</v>
      </c>
      <c r="AM16" s="520">
        <f t="shared" si="6"/>
        <v>20642.900000000001</v>
      </c>
      <c r="AN16" s="521">
        <f t="shared" si="7"/>
        <v>270.89999999999998</v>
      </c>
      <c r="AO16" s="521">
        <f t="shared" si="7"/>
        <v>29735.300000000003</v>
      </c>
      <c r="AP16" s="521">
        <f t="shared" si="7"/>
        <v>110674</v>
      </c>
      <c r="AQ16" s="521">
        <f t="shared" si="7"/>
        <v>140409.29999999999</v>
      </c>
      <c r="AR16" s="519" t="s">
        <v>1205</v>
      </c>
      <c r="AS16" s="520">
        <v>659.2</v>
      </c>
      <c r="AT16" s="520">
        <v>5599.9</v>
      </c>
      <c r="AU16" s="520">
        <v>1384.8</v>
      </c>
      <c r="AV16" s="520">
        <v>499.9</v>
      </c>
      <c r="AW16" s="520">
        <v>146210.1</v>
      </c>
      <c r="AX16" s="520">
        <v>1864.2</v>
      </c>
      <c r="AY16" s="520">
        <f t="shared" si="14"/>
        <v>148074.30000000002</v>
      </c>
      <c r="AZ16" s="528">
        <f>AY16*0.045</f>
        <v>6663.3435000000009</v>
      </c>
      <c r="BA16" s="520">
        <f t="shared" si="15"/>
        <v>373.05649999999878</v>
      </c>
      <c r="BB16" s="528">
        <v>7036.4</v>
      </c>
      <c r="BC16" s="520">
        <v>582919.69999999995</v>
      </c>
      <c r="BD16" s="520">
        <f t="shared" si="8"/>
        <v>27364.300000000003</v>
      </c>
      <c r="BE16" s="520">
        <v>84</v>
      </c>
      <c r="BF16" s="520">
        <v>15262.4</v>
      </c>
      <c r="BG16" s="520">
        <v>670.7</v>
      </c>
      <c r="BH16" s="520">
        <v>18832</v>
      </c>
      <c r="BI16" s="520">
        <f t="shared" si="9"/>
        <v>34849.1</v>
      </c>
      <c r="BJ16" s="519" t="s">
        <v>1205</v>
      </c>
      <c r="BK16" s="520"/>
      <c r="BL16" s="522">
        <v>15.51</v>
      </c>
      <c r="BM16" s="522">
        <v>24.44</v>
      </c>
      <c r="BN16" s="522">
        <v>17.02</v>
      </c>
      <c r="BO16" s="522">
        <v>17.28</v>
      </c>
      <c r="BP16" s="522">
        <v>16.79</v>
      </c>
      <c r="BQ16" s="522">
        <v>2.5</v>
      </c>
      <c r="BR16" s="522">
        <v>308804.55</v>
      </c>
      <c r="BS16" s="523">
        <v>14202240</v>
      </c>
      <c r="BT16" s="524">
        <v>6318</v>
      </c>
      <c r="BU16" s="525">
        <v>3388</v>
      </c>
      <c r="BV16" s="522">
        <v>98.47</v>
      </c>
      <c r="BW16" s="522">
        <v>22.57</v>
      </c>
      <c r="BX16" s="525">
        <v>22.22</v>
      </c>
      <c r="BY16" s="525">
        <v>8.41</v>
      </c>
      <c r="BZ16" s="522">
        <v>5</v>
      </c>
      <c r="CA16" s="522">
        <v>5.62</v>
      </c>
      <c r="CB16" s="525">
        <v>10.93</v>
      </c>
      <c r="CC16" s="526">
        <f t="shared" si="10"/>
        <v>5.31</v>
      </c>
      <c r="CD16" s="520" t="s">
        <v>836</v>
      </c>
      <c r="CE16" s="922" t="s">
        <v>836</v>
      </c>
      <c r="CF16" s="923" t="s">
        <v>836</v>
      </c>
    </row>
    <row r="17" spans="2:84" s="25" customFormat="1" ht="9.9499999999999993" customHeight="1">
      <c r="B17" s="859"/>
      <c r="C17" s="859"/>
      <c r="D17" s="859"/>
      <c r="E17" s="859"/>
      <c r="F17" s="859"/>
      <c r="G17" s="859"/>
      <c r="I17" s="423" t="s">
        <v>1210</v>
      </c>
      <c r="J17" s="424"/>
      <c r="K17" s="424">
        <v>24496.3</v>
      </c>
      <c r="L17" s="424">
        <v>397.8</v>
      </c>
      <c r="M17" s="424">
        <f t="shared" si="0"/>
        <v>24894.1</v>
      </c>
      <c r="N17" s="424">
        <v>2032</v>
      </c>
      <c r="O17" s="424">
        <f t="shared" si="1"/>
        <v>22862.1</v>
      </c>
      <c r="P17" s="424">
        <v>3438.5</v>
      </c>
      <c r="Q17" s="424">
        <v>11227.8</v>
      </c>
      <c r="R17" s="424">
        <v>19739.599999999999</v>
      </c>
      <c r="S17" s="424">
        <v>138021.9</v>
      </c>
      <c r="T17" s="425">
        <f t="shared" si="11"/>
        <v>157761.5</v>
      </c>
      <c r="U17" s="425">
        <f t="shared" si="12"/>
        <v>168989.3</v>
      </c>
      <c r="V17" s="424">
        <v>50.6</v>
      </c>
      <c r="W17" s="424">
        <f t="shared" si="13"/>
        <v>42652.299999999996</v>
      </c>
      <c r="X17" s="424">
        <f t="shared" si="2"/>
        <v>180674.19999999998</v>
      </c>
      <c r="Y17" s="424">
        <v>5027.7</v>
      </c>
      <c r="Z17" s="424">
        <f t="shared" si="3"/>
        <v>185701.9</v>
      </c>
      <c r="AA17" s="423" t="s">
        <v>1210</v>
      </c>
      <c r="AB17" s="424">
        <v>0</v>
      </c>
      <c r="AC17" s="424">
        <v>7606.1</v>
      </c>
      <c r="AD17" s="424">
        <v>122042</v>
      </c>
      <c r="AE17" s="424">
        <f t="shared" si="4"/>
        <v>129648.1</v>
      </c>
      <c r="AF17" s="424">
        <v>0</v>
      </c>
      <c r="AG17" s="424">
        <v>6170.5</v>
      </c>
      <c r="AH17" s="424">
        <v>8137.4</v>
      </c>
      <c r="AI17" s="424">
        <f t="shared" si="5"/>
        <v>14307.9</v>
      </c>
      <c r="AJ17" s="424">
        <v>1783.8</v>
      </c>
      <c r="AK17" s="424">
        <v>18178.599999999999</v>
      </c>
      <c r="AL17" s="424">
        <v>708.1</v>
      </c>
      <c r="AM17" s="424">
        <f t="shared" si="6"/>
        <v>18886.699999999997</v>
      </c>
      <c r="AN17" s="425">
        <f t="shared" si="7"/>
        <v>1783.8</v>
      </c>
      <c r="AO17" s="425">
        <f t="shared" si="7"/>
        <v>31955.199999999997</v>
      </c>
      <c r="AP17" s="425">
        <f t="shared" si="7"/>
        <v>130887.5</v>
      </c>
      <c r="AQ17" s="425">
        <f t="shared" si="7"/>
        <v>162842.70000000001</v>
      </c>
      <c r="AR17" s="423" t="s">
        <v>1210</v>
      </c>
      <c r="AS17" s="424">
        <v>626.20000000000005</v>
      </c>
      <c r="AT17" s="424">
        <v>7046.6</v>
      </c>
      <c r="AU17" s="424">
        <v>2590.5</v>
      </c>
      <c r="AV17" s="424">
        <v>656.1</v>
      </c>
      <c r="AW17" s="424">
        <v>169001</v>
      </c>
      <c r="AX17" s="424">
        <v>3452.4</v>
      </c>
      <c r="AY17" s="424">
        <f t="shared" si="14"/>
        <v>172453.4</v>
      </c>
      <c r="AZ17" s="36">
        <f>AY17*0.05</f>
        <v>8622.67</v>
      </c>
      <c r="BA17" s="424">
        <f t="shared" si="15"/>
        <v>387.32999999999993</v>
      </c>
      <c r="BB17" s="36">
        <v>9010</v>
      </c>
      <c r="BC17" s="424">
        <v>661370</v>
      </c>
      <c r="BD17" s="424">
        <f t="shared" si="8"/>
        <v>33904.1</v>
      </c>
      <c r="BE17" s="424">
        <v>69.099999999999994</v>
      </c>
      <c r="BF17" s="424">
        <v>24581.599999999999</v>
      </c>
      <c r="BG17" s="424">
        <v>765.6</v>
      </c>
      <c r="BH17" s="424">
        <v>17060</v>
      </c>
      <c r="BI17" s="424">
        <f t="shared" si="9"/>
        <v>42476.299999999996</v>
      </c>
      <c r="BJ17" s="423" t="s">
        <v>1210</v>
      </c>
      <c r="BK17" s="424"/>
      <c r="BL17" s="412">
        <v>21.95</v>
      </c>
      <c r="BM17" s="412">
        <v>34.72</v>
      </c>
      <c r="BN17" s="412">
        <v>18.27</v>
      </c>
      <c r="BO17" s="412">
        <v>20.16</v>
      </c>
      <c r="BP17" s="412">
        <v>19.510000000000002</v>
      </c>
      <c r="BQ17" s="412">
        <v>2.2999999999999998</v>
      </c>
      <c r="BR17" s="412">
        <v>103555.4</v>
      </c>
      <c r="BS17" s="426">
        <v>18857164</v>
      </c>
      <c r="BT17" s="427">
        <v>6425</v>
      </c>
      <c r="BU17" s="411">
        <v>3389</v>
      </c>
      <c r="BV17" s="412">
        <v>96.36</v>
      </c>
      <c r="BW17" s="412">
        <v>26.3</v>
      </c>
      <c r="BX17" s="411">
        <v>25.35</v>
      </c>
      <c r="BY17" s="411">
        <v>9.9499999999999993</v>
      </c>
      <c r="BZ17" s="412">
        <v>5</v>
      </c>
      <c r="CA17" s="412">
        <v>6.68</v>
      </c>
      <c r="CB17" s="411">
        <v>12.06</v>
      </c>
      <c r="CC17" s="413">
        <f t="shared" si="10"/>
        <v>5.3800000000000008</v>
      </c>
      <c r="CD17" s="424" t="s">
        <v>836</v>
      </c>
      <c r="CE17" s="428" t="s">
        <v>836</v>
      </c>
      <c r="CF17" s="25" t="s">
        <v>836</v>
      </c>
    </row>
    <row r="18" spans="2:84" s="25" customFormat="1" ht="9.9499999999999993" customHeight="1">
      <c r="B18" s="859"/>
      <c r="C18" s="859"/>
      <c r="D18" s="859"/>
      <c r="E18" s="859"/>
      <c r="F18" s="859"/>
      <c r="G18" s="859"/>
      <c r="I18" s="519" t="s">
        <v>1219</v>
      </c>
      <c r="J18" s="520"/>
      <c r="K18" s="521">
        <v>28363</v>
      </c>
      <c r="L18" s="530">
        <v>424.4</v>
      </c>
      <c r="M18" s="520">
        <f t="shared" si="0"/>
        <v>28787.4</v>
      </c>
      <c r="N18" s="530">
        <v>2143.6</v>
      </c>
      <c r="O18" s="520">
        <f t="shared" si="1"/>
        <v>26643.800000000003</v>
      </c>
      <c r="P18" s="521">
        <v>5100</v>
      </c>
      <c r="Q18" s="530">
        <v>12157.6</v>
      </c>
      <c r="R18" s="530">
        <v>23462.5</v>
      </c>
      <c r="S18" s="530">
        <v>161336.20000000001</v>
      </c>
      <c r="T18" s="530">
        <f>R18+S18</f>
        <v>184798.7</v>
      </c>
      <c r="U18" s="530">
        <f>Q18+T18</f>
        <v>196956.30000000002</v>
      </c>
      <c r="V18" s="530">
        <v>61.7</v>
      </c>
      <c r="W18" s="521">
        <f t="shared" si="13"/>
        <v>50168</v>
      </c>
      <c r="X18" s="530">
        <f>S18+W18</f>
        <v>211504.2</v>
      </c>
      <c r="Y18" s="530">
        <v>5619.3</v>
      </c>
      <c r="Z18" s="521">
        <f>X18+Y18</f>
        <v>217123.5</v>
      </c>
      <c r="AA18" s="519" t="s">
        <v>1219</v>
      </c>
      <c r="AB18" s="520">
        <v>0</v>
      </c>
      <c r="AC18" s="530">
        <v>7653.6</v>
      </c>
      <c r="AD18" s="530">
        <v>140776.20000000001</v>
      </c>
      <c r="AE18" s="530">
        <f>AC18+AD18</f>
        <v>148429.80000000002</v>
      </c>
      <c r="AF18" s="520">
        <v>0</v>
      </c>
      <c r="AG18" s="530">
        <v>7575.7</v>
      </c>
      <c r="AH18" s="530">
        <v>8889.2000000000007</v>
      </c>
      <c r="AI18" s="530">
        <f>AG18+AH18</f>
        <v>16464.900000000001</v>
      </c>
      <c r="AJ18" s="530">
        <v>845.8</v>
      </c>
      <c r="AK18" s="530">
        <v>23560.799999999999</v>
      </c>
      <c r="AL18" s="530">
        <v>935.6</v>
      </c>
      <c r="AM18" s="530">
        <f>AK18+AL18</f>
        <v>24496.399999999998</v>
      </c>
      <c r="AN18" s="521">
        <f>AB18+AF18+AJ18</f>
        <v>845.8</v>
      </c>
      <c r="AO18" s="530">
        <f t="shared" si="7"/>
        <v>38790.1</v>
      </c>
      <c r="AP18" s="521">
        <f>AD18+AH18+AL18</f>
        <v>150601.00000000003</v>
      </c>
      <c r="AQ18" s="530">
        <f>AE18+AI18+AM18</f>
        <v>189391.1</v>
      </c>
      <c r="AR18" s="519" t="s">
        <v>1219</v>
      </c>
      <c r="AS18" s="530">
        <v>602.1</v>
      </c>
      <c r="AT18" s="530">
        <v>5735.6</v>
      </c>
      <c r="AU18" s="530">
        <v>1613.8</v>
      </c>
      <c r="AV18" s="530">
        <v>661.8</v>
      </c>
      <c r="AW18" s="530">
        <v>197000.3</v>
      </c>
      <c r="AX18" s="530">
        <v>3203.4</v>
      </c>
      <c r="AY18" s="530">
        <f t="shared" si="14"/>
        <v>200203.69999999998</v>
      </c>
      <c r="AZ18" s="528">
        <f>AY18*0.05</f>
        <v>10010.184999999999</v>
      </c>
      <c r="BA18" s="520">
        <f t="shared" si="15"/>
        <v>563.41500000000087</v>
      </c>
      <c r="BB18" s="528">
        <v>10573.6</v>
      </c>
      <c r="BC18" s="530">
        <v>592845.69999999995</v>
      </c>
      <c r="BD18" s="520">
        <f t="shared" si="8"/>
        <v>39361</v>
      </c>
      <c r="BE18" s="530">
        <v>1005.1</v>
      </c>
      <c r="BF18" s="530">
        <v>24550.1</v>
      </c>
      <c r="BG18" s="530">
        <v>920.4</v>
      </c>
      <c r="BH18" s="530">
        <v>21346.1</v>
      </c>
      <c r="BI18" s="530">
        <f>BE18+BF18+BG18+BH18</f>
        <v>47821.7</v>
      </c>
      <c r="BJ18" s="519" t="s">
        <v>1219</v>
      </c>
      <c r="BK18" s="520"/>
      <c r="BL18" s="522">
        <v>13.94</v>
      </c>
      <c r="BM18" s="531">
        <v>15.05</v>
      </c>
      <c r="BN18" s="531">
        <v>15.12</v>
      </c>
      <c r="BO18" s="531">
        <v>14.9</v>
      </c>
      <c r="BP18" s="531">
        <v>17.02</v>
      </c>
      <c r="BQ18" s="531">
        <v>2.2000000000000002</v>
      </c>
      <c r="BR18" s="531">
        <v>415323.09</v>
      </c>
      <c r="BS18" s="532">
        <v>22431225</v>
      </c>
      <c r="BT18" s="532">
        <v>6596</v>
      </c>
      <c r="BU18" s="530">
        <v>3383</v>
      </c>
      <c r="BV18" s="531">
        <f>AQ18/AW18*100</f>
        <v>96.137467810962733</v>
      </c>
      <c r="BW18" s="531">
        <v>29.94</v>
      </c>
      <c r="BX18" s="531">
        <v>28.79</v>
      </c>
      <c r="BY18" s="531">
        <f>(N18+BB18)/AW18*100</f>
        <v>6.4554216414898864</v>
      </c>
      <c r="BZ18" s="531">
        <v>5</v>
      </c>
      <c r="CA18" s="531">
        <v>6.85</v>
      </c>
      <c r="CB18" s="530">
        <v>12.78</v>
      </c>
      <c r="CC18" s="526">
        <f t="shared" si="10"/>
        <v>5.93</v>
      </c>
      <c r="CD18" s="520" t="s">
        <v>836</v>
      </c>
      <c r="CE18" s="922" t="s">
        <v>836</v>
      </c>
      <c r="CF18" s="923" t="s">
        <v>836</v>
      </c>
    </row>
    <row r="19" spans="2:84" s="41" customFormat="1" ht="9.9499999999999993" customHeight="1">
      <c r="I19" s="439" t="s">
        <v>916</v>
      </c>
      <c r="J19" s="439"/>
      <c r="K19" s="36">
        <v>35188.300000000003</v>
      </c>
      <c r="L19" s="37">
        <v>460.2</v>
      </c>
      <c r="M19" s="40">
        <f t="shared" si="0"/>
        <v>35648.5</v>
      </c>
      <c r="N19" s="37">
        <v>2958.6</v>
      </c>
      <c r="O19" s="40">
        <f t="shared" si="1"/>
        <v>32689.9</v>
      </c>
      <c r="P19" s="36">
        <v>5221.6000000000004</v>
      </c>
      <c r="Q19" s="37">
        <v>15680.8</v>
      </c>
      <c r="R19" s="37">
        <v>26517.599999999999</v>
      </c>
      <c r="S19" s="37">
        <v>189480.5</v>
      </c>
      <c r="T19" s="37">
        <f t="shared" si="11"/>
        <v>215998.1</v>
      </c>
      <c r="U19" s="36">
        <f t="shared" si="12"/>
        <v>231678.9</v>
      </c>
      <c r="V19" s="37">
        <v>106.9</v>
      </c>
      <c r="W19" s="36">
        <f t="shared" si="13"/>
        <v>59314.400000000001</v>
      </c>
      <c r="X19" s="36">
        <f>S19+W19</f>
        <v>248794.9</v>
      </c>
      <c r="Y19" s="37">
        <v>5031.3</v>
      </c>
      <c r="Z19" s="37">
        <v>253826.3</v>
      </c>
      <c r="AA19" s="439" t="s">
        <v>916</v>
      </c>
      <c r="AB19" s="40">
        <v>0</v>
      </c>
      <c r="AC19" s="37">
        <v>7117.1</v>
      </c>
      <c r="AD19" s="37">
        <v>175997.3</v>
      </c>
      <c r="AE19" s="37">
        <f t="shared" si="4"/>
        <v>183114.4</v>
      </c>
      <c r="AF19" s="40">
        <v>0</v>
      </c>
      <c r="AG19" s="36">
        <v>2638.4</v>
      </c>
      <c r="AH19" s="37">
        <v>10887.8</v>
      </c>
      <c r="AI19" s="37">
        <f>AG19+AH19</f>
        <v>13526.199999999999</v>
      </c>
      <c r="AJ19" s="37">
        <v>2148.6999999999998</v>
      </c>
      <c r="AK19" s="37">
        <v>37538.400000000001</v>
      </c>
      <c r="AL19" s="36">
        <v>1553.9</v>
      </c>
      <c r="AM19" s="37">
        <f>AK19+AL19</f>
        <v>39092.300000000003</v>
      </c>
      <c r="AN19" s="36">
        <f>AB19+AF19+AJ19</f>
        <v>2148.6999999999998</v>
      </c>
      <c r="AO19" s="37">
        <f>AC19+AG19+AK19</f>
        <v>47293.9</v>
      </c>
      <c r="AP19" s="36">
        <f>AD19+AH19+AL19</f>
        <v>188438.99999999997</v>
      </c>
      <c r="AQ19" s="36">
        <f>AE19+AI19+AM19</f>
        <v>235732.90000000002</v>
      </c>
      <c r="AR19" s="439" t="s">
        <v>916</v>
      </c>
      <c r="AS19" s="37">
        <v>758.8</v>
      </c>
      <c r="AT19" s="37">
        <v>6684.7</v>
      </c>
      <c r="AU19" s="37">
        <v>4086.1</v>
      </c>
      <c r="AV19" s="37">
        <v>1564.7</v>
      </c>
      <c r="AW19" s="37">
        <v>231718.2</v>
      </c>
      <c r="AX19" s="37">
        <v>3287.2</v>
      </c>
      <c r="AY19" s="37">
        <f t="shared" si="14"/>
        <v>235005.40000000002</v>
      </c>
      <c r="AZ19" s="36">
        <f>AY19*0.05</f>
        <v>11750.270000000002</v>
      </c>
      <c r="BA19" s="424">
        <f t="shared" si="15"/>
        <v>56.429999999998472</v>
      </c>
      <c r="BB19" s="36">
        <v>11806.7</v>
      </c>
      <c r="BC19" s="37">
        <v>601032.80000000005</v>
      </c>
      <c r="BD19" s="40">
        <f t="shared" si="8"/>
        <v>47455.199999999997</v>
      </c>
      <c r="BE19" s="37">
        <v>2271.4</v>
      </c>
      <c r="BF19" s="37">
        <v>23252.400000000001</v>
      </c>
      <c r="BG19" s="37">
        <v>1119.9000000000001</v>
      </c>
      <c r="BH19" s="37">
        <v>35472.699999999997</v>
      </c>
      <c r="BI19" s="37">
        <f>BE19+BF19+BG19+BH19</f>
        <v>62116.4</v>
      </c>
      <c r="BJ19" s="439" t="s">
        <v>916</v>
      </c>
      <c r="BK19" s="439"/>
      <c r="BL19" s="440">
        <v>30.41</v>
      </c>
      <c r="BM19" s="21">
        <v>-32.17</v>
      </c>
      <c r="BN19" s="21">
        <v>25.15</v>
      </c>
      <c r="BO19" s="21">
        <v>21.18</v>
      </c>
      <c r="BP19" s="21">
        <v>17.59</v>
      </c>
      <c r="BQ19" s="37">
        <v>2.19</v>
      </c>
      <c r="BR19" s="43">
        <v>479057.4</v>
      </c>
      <c r="BS19" s="42">
        <v>24375719</v>
      </c>
      <c r="BT19" s="44">
        <v>6747</v>
      </c>
      <c r="BU19" s="37">
        <v>3383</v>
      </c>
      <c r="BV19" s="21">
        <f>AQ19/AW19*100</f>
        <v>101.7325786235177</v>
      </c>
      <c r="BW19" s="21">
        <f>AW19/BT19</f>
        <v>34.343886171631837</v>
      </c>
      <c r="BX19" s="21">
        <f>AQ19/BT19</f>
        <v>34.938921001926786</v>
      </c>
      <c r="BY19" s="21">
        <f>(N19+BB19)/AW19*100</f>
        <v>6.3720933444157604</v>
      </c>
      <c r="BZ19" s="21">
        <v>5</v>
      </c>
      <c r="CA19" s="21">
        <v>6.95</v>
      </c>
      <c r="CB19" s="49">
        <v>12.29</v>
      </c>
      <c r="CC19" s="39">
        <f t="shared" si="10"/>
        <v>5.339999999999999</v>
      </c>
      <c r="CD19" s="424" t="s">
        <v>836</v>
      </c>
      <c r="CE19" s="428" t="s">
        <v>836</v>
      </c>
      <c r="CF19" s="25" t="s">
        <v>836</v>
      </c>
    </row>
    <row r="20" spans="2:84" s="41" customFormat="1" ht="9.9499999999999993" customHeight="1">
      <c r="C20" s="1684" t="s">
        <v>910</v>
      </c>
      <c r="D20" s="1684"/>
      <c r="E20" s="1684"/>
      <c r="F20" s="1684"/>
      <c r="G20" s="1684"/>
      <c r="I20" s="533" t="s">
        <v>230</v>
      </c>
      <c r="J20" s="533"/>
      <c r="K20" s="528">
        <v>38970</v>
      </c>
      <c r="L20" s="534">
        <v>478.7</v>
      </c>
      <c r="M20" s="535">
        <v>39448.699999999997</v>
      </c>
      <c r="N20" s="534">
        <v>3399.5</v>
      </c>
      <c r="O20" s="535">
        <v>36049.199999999997</v>
      </c>
      <c r="P20" s="528">
        <v>7076.3</v>
      </c>
      <c r="Q20" s="534">
        <v>18312.599999999999</v>
      </c>
      <c r="R20" s="534">
        <v>30236.5</v>
      </c>
      <c r="S20" s="528">
        <v>230073</v>
      </c>
      <c r="T20" s="534">
        <v>260309.5</v>
      </c>
      <c r="U20" s="528">
        <v>278622.09999999998</v>
      </c>
      <c r="V20" s="534">
        <v>141.19999999999999</v>
      </c>
      <c r="W20" s="528">
        <v>66426.899999999994</v>
      </c>
      <c r="X20" s="528">
        <v>296499.90000000002</v>
      </c>
      <c r="Y20" s="534">
        <v>6084.7</v>
      </c>
      <c r="Z20" s="534">
        <v>302584.60000000003</v>
      </c>
      <c r="AA20" s="533" t="s">
        <v>230</v>
      </c>
      <c r="AB20" s="535">
        <v>0</v>
      </c>
      <c r="AC20" s="528">
        <v>9644</v>
      </c>
      <c r="AD20" s="534">
        <v>204574.6</v>
      </c>
      <c r="AE20" s="534">
        <v>214218.6</v>
      </c>
      <c r="AF20" s="535">
        <v>0</v>
      </c>
      <c r="AG20" s="528">
        <v>2611.9</v>
      </c>
      <c r="AH20" s="534">
        <v>9103.2000000000007</v>
      </c>
      <c r="AI20" s="534">
        <v>11715.1</v>
      </c>
      <c r="AJ20" s="534">
        <v>1545.7</v>
      </c>
      <c r="AK20" s="534">
        <v>46863.8</v>
      </c>
      <c r="AL20" s="528">
        <v>2227.6</v>
      </c>
      <c r="AM20" s="534">
        <v>49091.4</v>
      </c>
      <c r="AN20" s="528">
        <v>1545.7</v>
      </c>
      <c r="AO20" s="534">
        <v>59119.700000000004</v>
      </c>
      <c r="AP20" s="528">
        <v>215905.40000000002</v>
      </c>
      <c r="AQ20" s="528">
        <v>275025.10000000003</v>
      </c>
      <c r="AR20" s="533" t="s">
        <v>230</v>
      </c>
      <c r="AS20" s="534">
        <v>1208.5</v>
      </c>
      <c r="AT20" s="528">
        <v>6102</v>
      </c>
      <c r="AU20" s="534">
        <v>2594.1999999999998</v>
      </c>
      <c r="AV20" s="534">
        <v>1213.5999999999999</v>
      </c>
      <c r="AW20" s="534">
        <v>278680.39999999997</v>
      </c>
      <c r="AX20" s="534">
        <v>3960.4</v>
      </c>
      <c r="AY20" s="534">
        <v>282640.8</v>
      </c>
      <c r="AZ20" s="528">
        <f>AY20*0.05</f>
        <v>14132.04</v>
      </c>
      <c r="BA20" s="520">
        <f t="shared" si="15"/>
        <v>9027.4599999999991</v>
      </c>
      <c r="BB20" s="528">
        <v>23159.5</v>
      </c>
      <c r="BC20" s="534">
        <v>704068.7</v>
      </c>
      <c r="BD20" s="535">
        <v>69424.600000000006</v>
      </c>
      <c r="BE20" s="528">
        <v>3973</v>
      </c>
      <c r="BF20" s="534">
        <v>28474.1</v>
      </c>
      <c r="BG20" s="534">
        <v>2797.6</v>
      </c>
      <c r="BH20" s="534">
        <v>44754.700000000004</v>
      </c>
      <c r="BI20" s="534">
        <v>79999.399999999994</v>
      </c>
      <c r="BJ20" s="533" t="s">
        <v>230</v>
      </c>
      <c r="BK20" s="533"/>
      <c r="BL20" s="536">
        <v>24.04</v>
      </c>
      <c r="BM20" s="537">
        <v>6.55</v>
      </c>
      <c r="BN20" s="537">
        <v>14.62</v>
      </c>
      <c r="BO20" s="537">
        <v>16.02</v>
      </c>
      <c r="BP20" s="537">
        <v>19.170000000000002</v>
      </c>
      <c r="BQ20" s="534">
        <v>2.0699999999999998</v>
      </c>
      <c r="BR20" s="537">
        <v>615413.53</v>
      </c>
      <c r="BS20" s="534">
        <v>25624044</v>
      </c>
      <c r="BT20" s="538">
        <v>6936</v>
      </c>
      <c r="BU20" s="534">
        <v>3387</v>
      </c>
      <c r="BV20" s="537">
        <v>98.688354114605858</v>
      </c>
      <c r="BW20" s="537">
        <v>40.178835063437134</v>
      </c>
      <c r="BX20" s="537">
        <v>39.651831026528264</v>
      </c>
      <c r="BY20" s="537">
        <v>11.976227965798817</v>
      </c>
      <c r="BZ20" s="537">
        <v>5</v>
      </c>
      <c r="CA20" s="537">
        <v>7.01</v>
      </c>
      <c r="CB20" s="539">
        <v>11.87</v>
      </c>
      <c r="CC20" s="540">
        <v>4.8600000000000003</v>
      </c>
      <c r="CD20" s="520" t="s">
        <v>836</v>
      </c>
      <c r="CE20" s="922" t="s">
        <v>836</v>
      </c>
      <c r="CF20" s="923" t="s">
        <v>836</v>
      </c>
    </row>
    <row r="21" spans="2:84" s="41" customFormat="1" ht="9.9499999999999993" customHeight="1">
      <c r="C21" s="1684"/>
      <c r="D21" s="1684"/>
      <c r="E21" s="1684"/>
      <c r="F21" s="1684"/>
      <c r="G21" s="1684"/>
      <c r="I21" s="439" t="s">
        <v>220</v>
      </c>
      <c r="J21" s="439"/>
      <c r="K21" s="36">
        <v>49947.3</v>
      </c>
      <c r="L21" s="37">
        <v>518.1</v>
      </c>
      <c r="M21" s="40">
        <v>50465.4</v>
      </c>
      <c r="N21" s="37">
        <v>4308.3</v>
      </c>
      <c r="O21" s="40">
        <v>46157.1</v>
      </c>
      <c r="P21" s="36">
        <v>7971.5</v>
      </c>
      <c r="Q21" s="37">
        <v>20181.099999999999</v>
      </c>
      <c r="R21" s="37">
        <v>41621.800000000003</v>
      </c>
      <c r="S21" s="36">
        <v>275042.8</v>
      </c>
      <c r="T21" s="37">
        <v>316664.59999999998</v>
      </c>
      <c r="U21" s="36">
        <v>336845.69999999995</v>
      </c>
      <c r="V21" s="37">
        <v>209.4</v>
      </c>
      <c r="W21" s="36">
        <v>87988.299999999988</v>
      </c>
      <c r="X21" s="36">
        <v>363031.1</v>
      </c>
      <c r="Y21" s="37">
        <v>6935.3</v>
      </c>
      <c r="Z21" s="37">
        <v>369966.39999999997</v>
      </c>
      <c r="AA21" s="439" t="s">
        <v>220</v>
      </c>
      <c r="AB21" s="40">
        <v>0</v>
      </c>
      <c r="AC21" s="36">
        <v>10726.3</v>
      </c>
      <c r="AD21" s="37">
        <v>253455.9</v>
      </c>
      <c r="AE21" s="37">
        <v>264182.2</v>
      </c>
      <c r="AF21" s="40">
        <v>0</v>
      </c>
      <c r="AG21" s="36">
        <v>3865.2</v>
      </c>
      <c r="AH21" s="37">
        <v>10202.4</v>
      </c>
      <c r="AI21" s="37">
        <v>14067.599999999999</v>
      </c>
      <c r="AJ21" s="37">
        <v>2127.4</v>
      </c>
      <c r="AK21" s="37">
        <v>51891.3</v>
      </c>
      <c r="AL21" s="36">
        <v>4513.7</v>
      </c>
      <c r="AM21" s="36">
        <v>56405</v>
      </c>
      <c r="AN21" s="36">
        <v>2127.4</v>
      </c>
      <c r="AO21" s="37">
        <v>66482.8</v>
      </c>
      <c r="AP21" s="36">
        <v>268172</v>
      </c>
      <c r="AQ21" s="36">
        <v>334654.8</v>
      </c>
      <c r="AR21" s="439" t="s">
        <v>220</v>
      </c>
      <c r="AS21" s="37">
        <v>1749.5</v>
      </c>
      <c r="AT21" s="36">
        <v>5852.1</v>
      </c>
      <c r="AU21" s="37">
        <v>5087.3</v>
      </c>
      <c r="AV21" s="37">
        <v>1561.7</v>
      </c>
      <c r="AW21" s="37">
        <v>336869.7</v>
      </c>
      <c r="AX21" s="37">
        <v>3885.6</v>
      </c>
      <c r="AY21" s="37">
        <v>340755.3</v>
      </c>
      <c r="AZ21" s="36">
        <f>AY21*0.055</f>
        <v>18741.541499999999</v>
      </c>
      <c r="BA21" s="424">
        <f t="shared" si="15"/>
        <v>4726.4585000000006</v>
      </c>
      <c r="BB21" s="36">
        <v>23468</v>
      </c>
      <c r="BC21" s="37">
        <v>863330.4</v>
      </c>
      <c r="BD21" s="40">
        <v>81350</v>
      </c>
      <c r="BE21" s="36">
        <v>5.0999999999999996</v>
      </c>
      <c r="BF21" s="37">
        <v>21788.2</v>
      </c>
      <c r="BG21" s="37">
        <v>3141.2</v>
      </c>
      <c r="BH21" s="37">
        <v>49111.5</v>
      </c>
      <c r="BI21" s="36">
        <v>74046</v>
      </c>
      <c r="BJ21" s="439" t="s">
        <v>220</v>
      </c>
      <c r="BK21" s="439"/>
      <c r="BL21" s="440">
        <v>-6.52</v>
      </c>
      <c r="BM21" s="21">
        <v>20.77</v>
      </c>
      <c r="BN21" s="21">
        <v>24.24</v>
      </c>
      <c r="BO21" s="21">
        <v>17.89</v>
      </c>
      <c r="BP21" s="21">
        <v>22.44</v>
      </c>
      <c r="BQ21" s="21">
        <v>1.91</v>
      </c>
      <c r="BR21" s="43">
        <v>933097.39000000013</v>
      </c>
      <c r="BS21" s="42">
        <v>30670124</v>
      </c>
      <c r="BT21" s="44">
        <v>7246</v>
      </c>
      <c r="BU21" s="37">
        <v>3394</v>
      </c>
      <c r="BV21" s="21">
        <v>99.342505425688316</v>
      </c>
      <c r="BW21" s="21">
        <v>46.490436102677343</v>
      </c>
      <c r="BX21" s="21">
        <v>46.184764007728397</v>
      </c>
      <c r="BY21" s="21">
        <v>10.447036346694286</v>
      </c>
      <c r="BZ21" s="21">
        <v>5</v>
      </c>
      <c r="CA21" s="21">
        <v>6.01</v>
      </c>
      <c r="CB21" s="49">
        <v>11.31</v>
      </c>
      <c r="CC21" s="39">
        <v>5.3000000000000007</v>
      </c>
      <c r="CD21" s="424" t="s">
        <v>836</v>
      </c>
      <c r="CE21" s="428" t="s">
        <v>836</v>
      </c>
      <c r="CF21" s="25" t="s">
        <v>836</v>
      </c>
    </row>
    <row r="22" spans="2:84" s="37" customFormat="1" ht="9.9499999999999993" customHeight="1">
      <c r="I22" s="533" t="s">
        <v>489</v>
      </c>
      <c r="J22" s="533"/>
      <c r="K22" s="528">
        <v>59915.5</v>
      </c>
      <c r="L22" s="528">
        <v>611.4</v>
      </c>
      <c r="M22" s="535">
        <v>60526.9</v>
      </c>
      <c r="N22" s="528">
        <v>5731.8</v>
      </c>
      <c r="O22" s="535">
        <v>54795.1</v>
      </c>
      <c r="P22" s="528">
        <v>9482</v>
      </c>
      <c r="Q22" s="528">
        <v>24919.8</v>
      </c>
      <c r="R22" s="528">
        <v>48106.2</v>
      </c>
      <c r="S22" s="528">
        <v>337418.9</v>
      </c>
      <c r="T22" s="534">
        <v>385525.10000000003</v>
      </c>
      <c r="U22" s="528">
        <v>410444.9</v>
      </c>
      <c r="V22" s="528">
        <v>199.8</v>
      </c>
      <c r="W22" s="528">
        <v>103101.09999999999</v>
      </c>
      <c r="X22" s="528">
        <v>440520</v>
      </c>
      <c r="Y22" s="528">
        <v>4976</v>
      </c>
      <c r="Z22" s="528">
        <v>445496</v>
      </c>
      <c r="AA22" s="533" t="s">
        <v>489</v>
      </c>
      <c r="AB22" s="528">
        <v>0</v>
      </c>
      <c r="AC22" s="528">
        <v>13830.7</v>
      </c>
      <c r="AD22" s="528">
        <v>312803.5</v>
      </c>
      <c r="AE22" s="528">
        <v>326634.2</v>
      </c>
      <c r="AF22" s="528">
        <v>0</v>
      </c>
      <c r="AG22" s="528">
        <v>4371.8999999999996</v>
      </c>
      <c r="AH22" s="528">
        <v>16670.400000000001</v>
      </c>
      <c r="AI22" s="528">
        <v>21042.300000000003</v>
      </c>
      <c r="AJ22" s="528">
        <v>3080.3</v>
      </c>
      <c r="AK22" s="528">
        <v>66704</v>
      </c>
      <c r="AL22" s="528">
        <v>8095.2</v>
      </c>
      <c r="AM22" s="528">
        <v>74799.199999999997</v>
      </c>
      <c r="AN22" s="528">
        <v>3080.3</v>
      </c>
      <c r="AO22" s="528">
        <v>84906.6</v>
      </c>
      <c r="AP22" s="528">
        <v>337569.10000000003</v>
      </c>
      <c r="AQ22" s="528">
        <v>422475.7</v>
      </c>
      <c r="AR22" s="533" t="s">
        <v>489</v>
      </c>
      <c r="AS22" s="528">
        <v>1959.3</v>
      </c>
      <c r="AT22" s="528">
        <v>17833.400000000001</v>
      </c>
      <c r="AU22" s="528">
        <v>3960.3</v>
      </c>
      <c r="AV22" s="528">
        <v>2329.1999999999998</v>
      </c>
      <c r="AW22" s="528">
        <v>410470.7</v>
      </c>
      <c r="AX22" s="528">
        <v>5461.7</v>
      </c>
      <c r="AY22" s="528">
        <v>415932.4</v>
      </c>
      <c r="AZ22" s="528">
        <v>24955.944</v>
      </c>
      <c r="BA22" s="520">
        <v>4051.7560000000012</v>
      </c>
      <c r="BB22" s="535">
        <v>29007.7</v>
      </c>
      <c r="BC22" s="528">
        <v>1087850.3</v>
      </c>
      <c r="BD22" s="535">
        <v>89534.6</v>
      </c>
      <c r="BE22" s="528">
        <v>10732.9</v>
      </c>
      <c r="BF22" s="528">
        <v>20625.2</v>
      </c>
      <c r="BG22" s="528">
        <v>2591</v>
      </c>
      <c r="BH22" s="528">
        <v>63715.1</v>
      </c>
      <c r="BI22" s="528">
        <v>97664.2</v>
      </c>
      <c r="BJ22" s="533" t="s">
        <v>489</v>
      </c>
      <c r="BK22" s="533"/>
      <c r="BL22" s="537">
        <v>34.89</v>
      </c>
      <c r="BM22" s="537">
        <v>28.72</v>
      </c>
      <c r="BN22" s="537">
        <v>25.84</v>
      </c>
      <c r="BO22" s="537">
        <v>27.41</v>
      </c>
      <c r="BP22" s="537">
        <v>21.34</v>
      </c>
      <c r="BQ22" s="537">
        <v>1.8</v>
      </c>
      <c r="BR22" s="537">
        <v>1149439.29</v>
      </c>
      <c r="BS22" s="538">
        <v>26162053</v>
      </c>
      <c r="BT22" s="538">
        <v>7712</v>
      </c>
      <c r="BU22" s="538">
        <v>3414</v>
      </c>
      <c r="BV22" s="537">
        <v>102.92469109244581</v>
      </c>
      <c r="BW22" s="537">
        <v>53.224935165975104</v>
      </c>
      <c r="BX22" s="537">
        <v>54.781600103734441</v>
      </c>
      <c r="BY22" s="537">
        <v>8.4633324619759698</v>
      </c>
      <c r="BZ22" s="537">
        <v>5</v>
      </c>
      <c r="CA22" s="537">
        <v>7.27</v>
      </c>
      <c r="CB22" s="537">
        <v>12.42</v>
      </c>
      <c r="CC22" s="537">
        <v>5.15</v>
      </c>
      <c r="CD22" s="520" t="s">
        <v>836</v>
      </c>
      <c r="CE22" s="922" t="s">
        <v>836</v>
      </c>
      <c r="CF22" s="923" t="s">
        <v>836</v>
      </c>
    </row>
    <row r="23" spans="2:84" s="42" customFormat="1" ht="9.9499999999999993" customHeight="1">
      <c r="I23" s="956" t="s">
        <v>1852</v>
      </c>
      <c r="J23" s="956"/>
      <c r="K23" s="88">
        <v>64200.7</v>
      </c>
      <c r="L23" s="88">
        <v>695.8</v>
      </c>
      <c r="M23" s="441">
        <v>64896.5</v>
      </c>
      <c r="N23" s="88">
        <v>6479.4</v>
      </c>
      <c r="O23" s="441">
        <v>58417.1</v>
      </c>
      <c r="P23" s="88">
        <v>11992.2</v>
      </c>
      <c r="Q23" s="88">
        <v>31574.2</v>
      </c>
      <c r="R23" s="88">
        <v>51060.4</v>
      </c>
      <c r="S23" s="88">
        <v>407388.1</v>
      </c>
      <c r="T23" s="42">
        <v>458448.5</v>
      </c>
      <c r="U23" s="88">
        <v>490022.7</v>
      </c>
      <c r="V23" s="88">
        <v>243.9</v>
      </c>
      <c r="W23" s="88">
        <v>109721.4</v>
      </c>
      <c r="X23" s="88">
        <v>517109.5</v>
      </c>
      <c r="Y23" s="88">
        <v>2533.6999999999998</v>
      </c>
      <c r="Z23" s="88">
        <v>519643.2</v>
      </c>
      <c r="AA23" s="956" t="s">
        <v>1852</v>
      </c>
      <c r="AB23" s="88">
        <v>0</v>
      </c>
      <c r="AC23" s="88">
        <v>14190.3</v>
      </c>
      <c r="AD23" s="88">
        <v>373614.6</v>
      </c>
      <c r="AE23" s="88">
        <v>387804.89999999997</v>
      </c>
      <c r="AF23" s="88">
        <v>0</v>
      </c>
      <c r="AG23" s="88">
        <v>2534.6999999999998</v>
      </c>
      <c r="AH23" s="88">
        <v>21317.5</v>
      </c>
      <c r="AI23" s="88">
        <v>23852.2</v>
      </c>
      <c r="AJ23" s="88">
        <v>5173</v>
      </c>
      <c r="AK23" s="88">
        <v>86057.1</v>
      </c>
      <c r="AL23" s="88">
        <v>9370.7999999999993</v>
      </c>
      <c r="AM23" s="88">
        <v>95427.900000000009</v>
      </c>
      <c r="AN23" s="88">
        <v>5173</v>
      </c>
      <c r="AO23" s="88">
        <v>102782.1</v>
      </c>
      <c r="AP23" s="88">
        <v>404302.89999999997</v>
      </c>
      <c r="AQ23" s="88">
        <v>507085</v>
      </c>
      <c r="AR23" s="956" t="s">
        <v>1852</v>
      </c>
      <c r="AS23" s="88">
        <v>2320</v>
      </c>
      <c r="AT23" s="88">
        <v>21671.599999999999</v>
      </c>
      <c r="AU23" s="88">
        <v>9197</v>
      </c>
      <c r="AV23" s="88">
        <v>3377.7</v>
      </c>
      <c r="AW23" s="88">
        <v>490038.80000000005</v>
      </c>
      <c r="AX23" s="88">
        <v>7141.5</v>
      </c>
      <c r="AY23" s="88">
        <v>497180.30000000005</v>
      </c>
      <c r="AZ23" s="88">
        <v>29830.818000000003</v>
      </c>
      <c r="BA23" s="432">
        <v>2831.4819999999963</v>
      </c>
      <c r="BB23" s="441">
        <v>32662.3</v>
      </c>
      <c r="BC23" s="88">
        <v>1296703.2</v>
      </c>
      <c r="BD23" s="441">
        <v>97558.8</v>
      </c>
      <c r="BE23" s="88">
        <v>9829.8000000000011</v>
      </c>
      <c r="BF23" s="88">
        <v>27482.100000000002</v>
      </c>
      <c r="BG23" s="88">
        <v>3379.1</v>
      </c>
      <c r="BH23" s="88">
        <v>82057.899999999994</v>
      </c>
      <c r="BI23" s="88">
        <v>122748.9</v>
      </c>
      <c r="BJ23" s="956" t="s">
        <v>1852</v>
      </c>
      <c r="BK23" s="956"/>
      <c r="BL23" s="43">
        <v>25.15</v>
      </c>
      <c r="BM23" s="43">
        <v>-5.01</v>
      </c>
      <c r="BN23" s="43">
        <v>19.72</v>
      </c>
      <c r="BO23" s="43">
        <v>19.53</v>
      </c>
      <c r="BP23" s="43">
        <v>17.39</v>
      </c>
      <c r="BQ23" s="43">
        <v>1.78</v>
      </c>
      <c r="BR23" s="43">
        <v>1032945.5599999999</v>
      </c>
      <c r="BS23" s="256">
        <v>22064500</v>
      </c>
      <c r="BT23" s="256">
        <v>8059</v>
      </c>
      <c r="BU23" s="256">
        <v>3449</v>
      </c>
      <c r="BV23" s="43">
        <v>103.47854088288517</v>
      </c>
      <c r="BW23" s="43">
        <v>60.806402779501184</v>
      </c>
      <c r="BX23" s="43">
        <v>62.921578359597966</v>
      </c>
      <c r="BY23" s="43">
        <v>7.9874695636345514</v>
      </c>
      <c r="BZ23" s="43">
        <v>5</v>
      </c>
      <c r="CA23" s="43">
        <v>8.15</v>
      </c>
      <c r="CB23" s="43">
        <v>13.75</v>
      </c>
      <c r="CC23" s="43">
        <v>5.6</v>
      </c>
      <c r="CD23" s="432" t="s">
        <v>836</v>
      </c>
      <c r="CE23" s="957" t="s">
        <v>836</v>
      </c>
      <c r="CF23" s="430" t="s">
        <v>836</v>
      </c>
    </row>
    <row r="24" spans="2:84" s="42" customFormat="1" ht="9.9499999999999993" customHeight="1">
      <c r="I24" s="533" t="s">
        <v>1809</v>
      </c>
      <c r="J24" s="533"/>
      <c r="K24" s="528">
        <v>74633.600000000006</v>
      </c>
      <c r="L24" s="528">
        <v>738.7</v>
      </c>
      <c r="M24" s="535">
        <v>75372.3</v>
      </c>
      <c r="N24" s="528">
        <v>7819.4</v>
      </c>
      <c r="O24" s="535">
        <v>67552.899999999994</v>
      </c>
      <c r="P24" s="528">
        <v>16749.2</v>
      </c>
      <c r="Q24" s="528">
        <v>37251.699999999997</v>
      </c>
      <c r="R24" s="528">
        <v>55736.5</v>
      </c>
      <c r="S24" s="528">
        <v>479902.3</v>
      </c>
      <c r="T24" s="534">
        <v>535638.80000000005</v>
      </c>
      <c r="U24" s="528">
        <v>572890.5</v>
      </c>
      <c r="V24" s="528">
        <v>313.7</v>
      </c>
      <c r="W24" s="528">
        <v>123603.09999999999</v>
      </c>
      <c r="X24" s="528">
        <v>603505.4</v>
      </c>
      <c r="Y24" s="528">
        <v>52.2</v>
      </c>
      <c r="Z24" s="528">
        <v>603557.6</v>
      </c>
      <c r="AA24" s="533" t="s">
        <v>1809</v>
      </c>
      <c r="AB24" s="528">
        <v>0</v>
      </c>
      <c r="AC24" s="528">
        <v>10424.6</v>
      </c>
      <c r="AD24" s="528">
        <v>417890.5</v>
      </c>
      <c r="AE24" s="528">
        <v>428315.1</v>
      </c>
      <c r="AF24" s="528">
        <v>0</v>
      </c>
      <c r="AG24" s="528">
        <v>939.6</v>
      </c>
      <c r="AH24" s="528">
        <v>18961.2</v>
      </c>
      <c r="AI24" s="528">
        <v>19900.8</v>
      </c>
      <c r="AJ24" s="528">
        <v>6677.8</v>
      </c>
      <c r="AK24" s="528">
        <v>123736.6</v>
      </c>
      <c r="AL24" s="528">
        <v>11125.2</v>
      </c>
      <c r="AM24" s="528">
        <v>134861.80000000002</v>
      </c>
      <c r="AN24" s="528">
        <v>6677.8</v>
      </c>
      <c r="AO24" s="528">
        <v>135100.80000000002</v>
      </c>
      <c r="AP24" s="528">
        <v>447976.9</v>
      </c>
      <c r="AQ24" s="528">
        <v>583077.69999999995</v>
      </c>
      <c r="AR24" s="533" t="s">
        <v>1809</v>
      </c>
      <c r="AS24" s="528">
        <v>9784.5</v>
      </c>
      <c r="AT24" s="528">
        <v>9441.9</v>
      </c>
      <c r="AU24" s="528">
        <v>9640.7999999999993</v>
      </c>
      <c r="AV24" s="528">
        <v>147</v>
      </c>
      <c r="AW24" s="528">
        <v>572957.5</v>
      </c>
      <c r="AX24" s="528">
        <v>6509</v>
      </c>
      <c r="AY24" s="528">
        <v>579466.5</v>
      </c>
      <c r="AZ24" s="528">
        <v>34767.99</v>
      </c>
      <c r="BA24" s="520">
        <v>2035.4100000000035</v>
      </c>
      <c r="BB24" s="535">
        <v>36803.4</v>
      </c>
      <c r="BC24" s="528">
        <v>1462258.7</v>
      </c>
      <c r="BD24" s="535">
        <v>112175.70000000001</v>
      </c>
      <c r="BE24" s="528">
        <v>9204.5</v>
      </c>
      <c r="BF24" s="528">
        <v>21263.200000000001</v>
      </c>
      <c r="BG24" s="528">
        <v>3720.1000000000004</v>
      </c>
      <c r="BH24" s="528">
        <v>123280</v>
      </c>
      <c r="BI24" s="528">
        <v>157467.79999999999</v>
      </c>
      <c r="BJ24" s="533" t="s">
        <v>1809</v>
      </c>
      <c r="BK24" s="533"/>
      <c r="BL24" s="537">
        <v>19.91</v>
      </c>
      <c r="BM24" s="537">
        <v>9.06</v>
      </c>
      <c r="BN24" s="537">
        <v>10.85</v>
      </c>
      <c r="BO24" s="537">
        <v>12.4</v>
      </c>
      <c r="BP24" s="537">
        <v>16.71</v>
      </c>
      <c r="BQ24" s="537">
        <v>1.99</v>
      </c>
      <c r="BR24" s="537">
        <v>1206241.4000000001</v>
      </c>
      <c r="BS24" s="538">
        <v>23019773</v>
      </c>
      <c r="BT24" s="538">
        <v>8427</v>
      </c>
      <c r="BU24" s="538">
        <v>3499</v>
      </c>
      <c r="BV24" s="537">
        <v>101.76630901942988</v>
      </c>
      <c r="BW24" s="537">
        <v>67.990684703927855</v>
      </c>
      <c r="BX24" s="537">
        <v>69.191610300225463</v>
      </c>
      <c r="BY24" s="537">
        <v>7.7881518262698375</v>
      </c>
      <c r="BZ24" s="537">
        <v>5</v>
      </c>
      <c r="CA24" s="537">
        <v>8.5399999999999991</v>
      </c>
      <c r="CB24" s="537">
        <v>13.67</v>
      </c>
      <c r="CC24" s="537">
        <v>5.1300000000000008</v>
      </c>
      <c r="CD24" s="520">
        <v>14.21</v>
      </c>
      <c r="CE24" s="922">
        <v>17.440000000000001</v>
      </c>
      <c r="CF24" s="923">
        <v>3.2300000000000004</v>
      </c>
    </row>
    <row r="25" spans="2:84" s="918" customFormat="1" ht="9.75" customHeight="1">
      <c r="C25" s="1684"/>
      <c r="D25" s="1684"/>
      <c r="E25" s="1684"/>
      <c r="F25" s="1684"/>
      <c r="G25" s="1684"/>
      <c r="I25" s="931" t="s">
        <v>2226</v>
      </c>
      <c r="J25" s="658"/>
      <c r="K25" s="657">
        <f>K37</f>
        <v>84714.1</v>
      </c>
      <c r="L25" s="657">
        <f t="shared" ref="L25:Z25" si="16">L37</f>
        <v>771.1</v>
      </c>
      <c r="M25" s="657">
        <f t="shared" si="16"/>
        <v>85485.200000000012</v>
      </c>
      <c r="N25" s="657">
        <f t="shared" si="16"/>
        <v>8576.7999999999993</v>
      </c>
      <c r="O25" s="657">
        <f t="shared" si="16"/>
        <v>76908.400000000009</v>
      </c>
      <c r="P25" s="657">
        <f t="shared" si="16"/>
        <v>14653.7</v>
      </c>
      <c r="Q25" s="657">
        <f t="shared" si="16"/>
        <v>39217.699999999997</v>
      </c>
      <c r="R25" s="657">
        <f t="shared" si="16"/>
        <v>64344.3</v>
      </c>
      <c r="S25" s="657">
        <f t="shared" si="16"/>
        <v>558978.4</v>
      </c>
      <c r="T25" s="657">
        <f t="shared" si="16"/>
        <v>623322.70000000007</v>
      </c>
      <c r="U25" s="657">
        <f t="shared" si="16"/>
        <v>662540.4</v>
      </c>
      <c r="V25" s="657">
        <f t="shared" si="16"/>
        <v>392.4</v>
      </c>
      <c r="W25" s="657">
        <f t="shared" si="16"/>
        <v>141645.1</v>
      </c>
      <c r="X25" s="657">
        <f t="shared" si="16"/>
        <v>700623.5</v>
      </c>
      <c r="Y25" s="657" t="str">
        <f t="shared" si="16"/>
        <v>…</v>
      </c>
      <c r="Z25" s="657" t="str">
        <f t="shared" si="16"/>
        <v>…</v>
      </c>
      <c r="AA25" s="931" t="s">
        <v>2226</v>
      </c>
      <c r="AB25" s="657">
        <f>AB37</f>
        <v>0</v>
      </c>
      <c r="AC25" s="657">
        <f t="shared" ref="AC25:AQ25" si="17">AC37</f>
        <v>12682.9</v>
      </c>
      <c r="AD25" s="657">
        <f t="shared" si="17"/>
        <v>472716.79999999999</v>
      </c>
      <c r="AE25" s="657">
        <f t="shared" si="17"/>
        <v>485399.7</v>
      </c>
      <c r="AF25" s="657">
        <f t="shared" si="17"/>
        <v>0</v>
      </c>
      <c r="AG25" s="657">
        <f t="shared" si="17"/>
        <v>1119.4000000000001</v>
      </c>
      <c r="AH25" s="657">
        <f t="shared" si="17"/>
        <v>18229.8</v>
      </c>
      <c r="AI25" s="657">
        <f t="shared" si="17"/>
        <v>19349.2</v>
      </c>
      <c r="AJ25" s="657">
        <f t="shared" si="17"/>
        <v>7694</v>
      </c>
      <c r="AK25" s="657">
        <f t="shared" si="17"/>
        <v>152996.79999999999</v>
      </c>
      <c r="AL25" s="657">
        <f t="shared" si="17"/>
        <v>12420.6</v>
      </c>
      <c r="AM25" s="657">
        <f t="shared" si="17"/>
        <v>165417.4</v>
      </c>
      <c r="AN25" s="657">
        <f t="shared" si="17"/>
        <v>7694</v>
      </c>
      <c r="AO25" s="657">
        <f t="shared" si="17"/>
        <v>166799.09999999998</v>
      </c>
      <c r="AP25" s="657">
        <f t="shared" si="17"/>
        <v>503367.19999999995</v>
      </c>
      <c r="AQ25" s="657">
        <f t="shared" si="17"/>
        <v>670166.30000000005</v>
      </c>
      <c r="AR25" s="931" t="s">
        <v>2226</v>
      </c>
      <c r="AS25" s="657">
        <f>AS37</f>
        <v>5706.9</v>
      </c>
      <c r="AT25" s="657">
        <f t="shared" ref="AT25:BI25" si="18">AT37</f>
        <v>5526.6</v>
      </c>
      <c r="AU25" s="657">
        <f t="shared" si="18"/>
        <v>9945.7000000000007</v>
      </c>
      <c r="AV25" s="657">
        <f t="shared" si="18"/>
        <v>26.2</v>
      </c>
      <c r="AW25" s="657">
        <f t="shared" si="18"/>
        <v>662559.30000000005</v>
      </c>
      <c r="AX25" s="657">
        <f t="shared" si="18"/>
        <v>6612.1</v>
      </c>
      <c r="AY25" s="657">
        <f t="shared" si="18"/>
        <v>669171.4</v>
      </c>
      <c r="AZ25" s="657">
        <f t="shared" si="18"/>
        <v>43496.141000000003</v>
      </c>
      <c r="BA25" s="657">
        <f t="shared" si="18"/>
        <v>501.55899999999383</v>
      </c>
      <c r="BB25" s="657">
        <f t="shared" si="18"/>
        <v>43997.7</v>
      </c>
      <c r="BC25" s="657">
        <f t="shared" si="18"/>
        <v>1689948.5</v>
      </c>
      <c r="BD25" s="657">
        <f t="shared" si="18"/>
        <v>129482.90000000001</v>
      </c>
      <c r="BE25" s="657">
        <f t="shared" si="18"/>
        <v>78.099999999999994</v>
      </c>
      <c r="BF25" s="657">
        <f t="shared" si="18"/>
        <v>16886.2</v>
      </c>
      <c r="BG25" s="657">
        <f t="shared" si="18"/>
        <v>2769.5</v>
      </c>
      <c r="BH25" s="657">
        <f t="shared" si="18"/>
        <v>152495.40000000002</v>
      </c>
      <c r="BI25" s="657">
        <f t="shared" si="18"/>
        <v>172229.2</v>
      </c>
      <c r="BJ25" s="931" t="s">
        <v>2226</v>
      </c>
      <c r="BK25" s="658"/>
      <c r="BL25" s="659">
        <f>BL37</f>
        <v>6.72</v>
      </c>
      <c r="BM25" s="659">
        <f>BM37</f>
        <v>34.71</v>
      </c>
      <c r="BN25" s="659">
        <f>BN37</f>
        <v>12.27</v>
      </c>
      <c r="BO25" s="659">
        <f>BO37</f>
        <v>11.57</v>
      </c>
      <c r="BP25" s="659">
        <f>BP37</f>
        <v>15.46</v>
      </c>
      <c r="BQ25" s="259">
        <v>1.92</v>
      </c>
      <c r="BR25" s="659">
        <f>SUM(BR26:BR37)</f>
        <v>1349860.7500000002</v>
      </c>
      <c r="BS25" s="660">
        <f>SUM(BS26:BS37)</f>
        <v>25358417</v>
      </c>
      <c r="BT25" s="660">
        <f>BT37</f>
        <v>8794</v>
      </c>
      <c r="BU25" s="660">
        <f>BU37</f>
        <v>3536</v>
      </c>
      <c r="BV25" s="659">
        <f t="shared" ref="BV25:CF25" si="19">BV37</f>
        <v>101.14812364719657</v>
      </c>
      <c r="BW25" s="659">
        <f t="shared" si="19"/>
        <v>75.342199226745507</v>
      </c>
      <c r="BX25" s="659">
        <f t="shared" si="19"/>
        <v>76.20722083238573</v>
      </c>
      <c r="BY25" s="659">
        <f t="shared" si="19"/>
        <v>7.9350633218792641</v>
      </c>
      <c r="BZ25" s="659">
        <f t="shared" si="19"/>
        <v>5</v>
      </c>
      <c r="CA25" s="659">
        <f t="shared" si="19"/>
        <v>7.79</v>
      </c>
      <c r="CB25" s="659">
        <f t="shared" si="19"/>
        <v>13.1</v>
      </c>
      <c r="CC25" s="659">
        <f t="shared" si="19"/>
        <v>5.31</v>
      </c>
      <c r="CD25" s="659">
        <f t="shared" si="19"/>
        <v>12.52</v>
      </c>
      <c r="CE25" s="659">
        <f t="shared" si="19"/>
        <v>16.899999999999999</v>
      </c>
      <c r="CF25" s="659">
        <f t="shared" si="19"/>
        <v>4.38</v>
      </c>
    </row>
    <row r="26" spans="2:84" s="482" customFormat="1" ht="9.75" hidden="1" customHeight="1">
      <c r="C26" s="1684"/>
      <c r="D26" s="1684"/>
      <c r="E26" s="1684"/>
      <c r="F26" s="1684"/>
      <c r="G26" s="1684"/>
      <c r="I26" s="519" t="s">
        <v>1211</v>
      </c>
      <c r="J26" s="520"/>
      <c r="K26" s="820">
        <v>80396.399999999994</v>
      </c>
      <c r="L26" s="820">
        <v>754.9</v>
      </c>
      <c r="M26" s="520">
        <f t="shared" si="0"/>
        <v>81151.299999999988</v>
      </c>
      <c r="N26" s="820">
        <v>8590.4</v>
      </c>
      <c r="O26" s="520">
        <f t="shared" si="1"/>
        <v>72560.899999999994</v>
      </c>
      <c r="P26" s="820">
        <v>15820.4</v>
      </c>
      <c r="Q26" s="820">
        <v>34367.599999999999</v>
      </c>
      <c r="R26" s="820">
        <v>54693.599999999999</v>
      </c>
      <c r="S26" s="820">
        <v>485937.8</v>
      </c>
      <c r="T26" s="521">
        <f>R26+S26</f>
        <v>540631.4</v>
      </c>
      <c r="U26" s="521">
        <f>Q26+T26</f>
        <v>574999</v>
      </c>
      <c r="V26" s="820">
        <v>307.8</v>
      </c>
      <c r="W26" s="521">
        <f>O26+R26+V26</f>
        <v>127562.3</v>
      </c>
      <c r="X26" s="521">
        <f>S26+W26</f>
        <v>613500.1</v>
      </c>
      <c r="Y26" s="820" t="s">
        <v>836</v>
      </c>
      <c r="Z26" s="845" t="s">
        <v>836</v>
      </c>
      <c r="AA26" s="519" t="s">
        <v>1211</v>
      </c>
      <c r="AB26" s="521">
        <v>0</v>
      </c>
      <c r="AC26" s="820">
        <v>11722.7</v>
      </c>
      <c r="AD26" s="820">
        <v>421551.2</v>
      </c>
      <c r="AE26" s="521">
        <f>AC26+AD26</f>
        <v>433273.9</v>
      </c>
      <c r="AF26" s="521">
        <v>0</v>
      </c>
      <c r="AG26" s="820">
        <v>1003.8</v>
      </c>
      <c r="AH26" s="820">
        <v>19369.099999999999</v>
      </c>
      <c r="AI26" s="521">
        <f>AG26+AH26</f>
        <v>20372.899999999998</v>
      </c>
      <c r="AJ26" s="820">
        <v>5081.8999999999996</v>
      </c>
      <c r="AK26" s="820">
        <v>126631.8</v>
      </c>
      <c r="AL26" s="845">
        <v>11348</v>
      </c>
      <c r="AM26" s="521">
        <f>AK26+AL26</f>
        <v>137979.79999999999</v>
      </c>
      <c r="AN26" s="521">
        <f>AB26+AF26+AJ26</f>
        <v>5081.8999999999996</v>
      </c>
      <c r="AO26" s="521">
        <f t="shared" ref="AO26:AQ29" si="20">AC26+AG26+AK26</f>
        <v>139358.29999999999</v>
      </c>
      <c r="AP26" s="521">
        <f t="shared" si="20"/>
        <v>452268.3</v>
      </c>
      <c r="AQ26" s="521">
        <f t="shared" si="20"/>
        <v>591626.60000000009</v>
      </c>
      <c r="AR26" s="519" t="s">
        <v>1211</v>
      </c>
      <c r="AS26" s="520">
        <v>8892.5</v>
      </c>
      <c r="AT26" s="845">
        <v>13055.8</v>
      </c>
      <c r="AU26" s="845">
        <v>7784.2</v>
      </c>
      <c r="AV26" s="845">
        <f>74+0+2</f>
        <v>76</v>
      </c>
      <c r="AW26" s="845">
        <v>575020</v>
      </c>
      <c r="AX26" s="845">
        <v>6286.5</v>
      </c>
      <c r="AY26" s="521">
        <f>AW26+AX26</f>
        <v>581306.5</v>
      </c>
      <c r="AZ26" s="521">
        <f t="shared" ref="AZ26:AZ36" si="21">AY26*0.06</f>
        <v>34878.39</v>
      </c>
      <c r="BA26" s="520">
        <f>BB26-AZ26</f>
        <v>1532.510000000002</v>
      </c>
      <c r="BB26" s="845">
        <v>36410.9</v>
      </c>
      <c r="BC26" s="845">
        <v>1465162.5</v>
      </c>
      <c r="BD26" s="520">
        <f t="shared" si="8"/>
        <v>117562.19999999998</v>
      </c>
      <c r="BE26" s="845">
        <f>4000+3408.8</f>
        <v>7408.8</v>
      </c>
      <c r="BF26" s="845">
        <f>24484.8-3408.8</f>
        <v>21076</v>
      </c>
      <c r="BG26" s="845">
        <f>1003.7+799.3+2333.3</f>
        <v>4136.3</v>
      </c>
      <c r="BH26" s="845">
        <f>123385+2803.7</f>
        <v>126188.7</v>
      </c>
      <c r="BI26" s="521">
        <f t="shared" ref="BI26:BI50" si="22">BE26+BF26+BG26+BH26</f>
        <v>158809.79999999999</v>
      </c>
      <c r="BJ26" s="519" t="s">
        <v>1211</v>
      </c>
      <c r="BK26" s="520"/>
      <c r="BL26" s="531">
        <v>4.1399999999999997</v>
      </c>
      <c r="BM26" s="531">
        <v>2.81</v>
      </c>
      <c r="BN26" s="531">
        <v>1.1200000000000001</v>
      </c>
      <c r="BO26" s="531">
        <v>1.75</v>
      </c>
      <c r="BP26" s="531">
        <v>1.66</v>
      </c>
      <c r="BQ26" s="531" t="s">
        <v>836</v>
      </c>
      <c r="BR26" s="531">
        <v>119096.71</v>
      </c>
      <c r="BS26" s="532">
        <v>2286740</v>
      </c>
      <c r="BT26" s="532">
        <v>8449</v>
      </c>
      <c r="BU26" s="532">
        <v>3501</v>
      </c>
      <c r="BV26" s="531">
        <f t="shared" ref="BV26:BV50" si="23">AQ26/AW26*100</f>
        <v>102.88800389551669</v>
      </c>
      <c r="BW26" s="531">
        <f t="shared" ref="BW26:BW50" si="24">AW26/BT26</f>
        <v>68.057758314593443</v>
      </c>
      <c r="BX26" s="531">
        <f t="shared" ref="BX26:BX50" si="25">AQ26/BT26</f>
        <v>70.023269025920243</v>
      </c>
      <c r="BY26" s="531">
        <f t="shared" ref="BY26:BY50" si="26">(N26+BB26)/AW26*100</f>
        <v>7.8260408333623186</v>
      </c>
      <c r="BZ26" s="531">
        <v>5</v>
      </c>
      <c r="CA26" s="531">
        <v>8.61</v>
      </c>
      <c r="CB26" s="531">
        <v>13.63</v>
      </c>
      <c r="CC26" s="531">
        <f t="shared" ref="CC26:CC37" si="27">CB26-CA26</f>
        <v>5.0200000000000014</v>
      </c>
      <c r="CD26" s="531" t="s">
        <v>836</v>
      </c>
      <c r="CE26" s="531" t="s">
        <v>836</v>
      </c>
      <c r="CF26" s="531" t="s">
        <v>836</v>
      </c>
    </row>
    <row r="27" spans="2:84" s="482" customFormat="1" ht="9.75" hidden="1" customHeight="1">
      <c r="I27" s="431" t="s">
        <v>1212</v>
      </c>
      <c r="J27" s="432"/>
      <c r="K27" s="852">
        <v>78044</v>
      </c>
      <c r="L27" s="857">
        <v>762.8</v>
      </c>
      <c r="M27" s="432">
        <f t="shared" si="0"/>
        <v>78806.8</v>
      </c>
      <c r="N27" s="857">
        <v>7339.1</v>
      </c>
      <c r="O27" s="432">
        <f t="shared" si="1"/>
        <v>71467.7</v>
      </c>
      <c r="P27" s="857">
        <v>15755.7</v>
      </c>
      <c r="Q27" s="857">
        <v>35255.699999999997</v>
      </c>
      <c r="R27" s="857">
        <v>53312.4</v>
      </c>
      <c r="S27" s="857">
        <v>494866.9</v>
      </c>
      <c r="T27" s="433">
        <f>R27+S27</f>
        <v>548179.30000000005</v>
      </c>
      <c r="U27" s="433">
        <f>Q27+T27</f>
        <v>583435</v>
      </c>
      <c r="V27" s="857">
        <v>342.1</v>
      </c>
      <c r="W27" s="433">
        <f t="shared" ref="W27:W50" si="28">O27+R27+V27</f>
        <v>125122.20000000001</v>
      </c>
      <c r="X27" s="433">
        <f t="shared" ref="X27:X50" si="29">S27+W27</f>
        <v>619989.10000000009</v>
      </c>
      <c r="Y27" s="857" t="s">
        <v>836</v>
      </c>
      <c r="Z27" s="857" t="s">
        <v>836</v>
      </c>
      <c r="AA27" s="431" t="s">
        <v>1212</v>
      </c>
      <c r="AB27" s="433">
        <v>0</v>
      </c>
      <c r="AC27" s="857">
        <v>11116.8</v>
      </c>
      <c r="AD27" s="857">
        <v>425931.5</v>
      </c>
      <c r="AE27" s="433">
        <f>AC27+AD27</f>
        <v>437048.3</v>
      </c>
      <c r="AF27" s="433">
        <v>0</v>
      </c>
      <c r="AG27" s="857">
        <v>1227.5</v>
      </c>
      <c r="AH27" s="852">
        <v>19201</v>
      </c>
      <c r="AI27" s="433">
        <f>AG27+AH27</f>
        <v>20428.5</v>
      </c>
      <c r="AJ27" s="857">
        <v>5243.4</v>
      </c>
      <c r="AK27" s="857">
        <v>127371.7</v>
      </c>
      <c r="AL27" s="857">
        <v>11273.9</v>
      </c>
      <c r="AM27" s="433">
        <f>AK27+AL27</f>
        <v>138645.6</v>
      </c>
      <c r="AN27" s="433">
        <f t="shared" ref="AN27:AN37" si="30">AB27+AF27+AJ27</f>
        <v>5243.4</v>
      </c>
      <c r="AO27" s="433">
        <f t="shared" si="20"/>
        <v>139716</v>
      </c>
      <c r="AP27" s="433">
        <f t="shared" si="20"/>
        <v>456406.4</v>
      </c>
      <c r="AQ27" s="433">
        <f t="shared" si="20"/>
        <v>596122.4</v>
      </c>
      <c r="AR27" s="431" t="s">
        <v>1212</v>
      </c>
      <c r="AS27" s="437">
        <v>7730.1</v>
      </c>
      <c r="AT27" s="857">
        <v>10608.2</v>
      </c>
      <c r="AU27" s="857">
        <v>7292.3</v>
      </c>
      <c r="AV27" s="852">
        <f>116+0+2</f>
        <v>118</v>
      </c>
      <c r="AW27" s="857">
        <v>583455.5</v>
      </c>
      <c r="AX27" s="857">
        <v>7068.2</v>
      </c>
      <c r="AY27" s="433">
        <f>AW27+AX27</f>
        <v>590523.69999999995</v>
      </c>
      <c r="AZ27" s="433">
        <f t="shared" si="21"/>
        <v>35431.421999999999</v>
      </c>
      <c r="BA27" s="432">
        <f>BB27-AZ27</f>
        <v>2762.3780000000042</v>
      </c>
      <c r="BB27" s="857">
        <v>38193.800000000003</v>
      </c>
      <c r="BC27" s="852">
        <v>1493467</v>
      </c>
      <c r="BD27" s="432">
        <f t="shared" si="8"/>
        <v>117000.6</v>
      </c>
      <c r="BE27" s="852">
        <f>2070+119.8</f>
        <v>2189.8000000000002</v>
      </c>
      <c r="BF27" s="852">
        <f>21023.7-119.8</f>
        <v>20903.900000000001</v>
      </c>
      <c r="BG27" s="857">
        <v>3846.4</v>
      </c>
      <c r="BH27" s="857">
        <f>124100+2828.8</f>
        <v>126928.8</v>
      </c>
      <c r="BI27" s="433">
        <f t="shared" si="22"/>
        <v>153868.9</v>
      </c>
      <c r="BJ27" s="431" t="s">
        <v>1212</v>
      </c>
      <c r="BK27" s="432"/>
      <c r="BL27" s="483">
        <v>0.21</v>
      </c>
      <c r="BM27" s="483">
        <v>-4.9000000000000004</v>
      </c>
      <c r="BN27" s="483">
        <v>2.04</v>
      </c>
      <c r="BO27" s="483">
        <v>1.45</v>
      </c>
      <c r="BP27" s="483">
        <v>2.73</v>
      </c>
      <c r="BQ27" s="483" t="s">
        <v>836</v>
      </c>
      <c r="BR27" s="483">
        <v>80299.56</v>
      </c>
      <c r="BS27" s="739">
        <v>1693822</v>
      </c>
      <c r="BT27" s="739">
        <v>8455</v>
      </c>
      <c r="BU27" s="739">
        <v>3501</v>
      </c>
      <c r="BV27" s="483">
        <f t="shared" si="23"/>
        <v>102.17101389908913</v>
      </c>
      <c r="BW27" s="483">
        <f t="shared" si="24"/>
        <v>69.007155529272623</v>
      </c>
      <c r="BX27" s="483">
        <f t="shared" si="25"/>
        <v>70.505310467179186</v>
      </c>
      <c r="BY27" s="483">
        <f t="shared" si="26"/>
        <v>7.8040056182519493</v>
      </c>
      <c r="BZ27" s="483">
        <v>5</v>
      </c>
      <c r="CA27" s="483">
        <v>8.5500000000000007</v>
      </c>
      <c r="CB27" s="483">
        <v>13.56</v>
      </c>
      <c r="CC27" s="483">
        <f t="shared" si="27"/>
        <v>5.01</v>
      </c>
      <c r="CD27" s="483" t="s">
        <v>836</v>
      </c>
      <c r="CE27" s="483" t="s">
        <v>836</v>
      </c>
      <c r="CF27" s="483" t="s">
        <v>836</v>
      </c>
    </row>
    <row r="28" spans="2:84" s="482" customFormat="1" ht="9.75" hidden="1" customHeight="1">
      <c r="I28" s="519" t="s">
        <v>1206</v>
      </c>
      <c r="J28" s="520"/>
      <c r="K28" s="845">
        <v>76163.399999999994</v>
      </c>
      <c r="L28" s="845">
        <v>764</v>
      </c>
      <c r="M28" s="845">
        <f t="shared" si="0"/>
        <v>76927.399999999994</v>
      </c>
      <c r="N28" s="845">
        <v>7770.5</v>
      </c>
      <c r="O28" s="845">
        <f t="shared" si="1"/>
        <v>69156.899999999994</v>
      </c>
      <c r="P28" s="820">
        <v>14305.6</v>
      </c>
      <c r="Q28" s="820">
        <v>34871.199999999997</v>
      </c>
      <c r="R28" s="820">
        <v>53945.1</v>
      </c>
      <c r="S28" s="820">
        <v>503287.4</v>
      </c>
      <c r="T28" s="521">
        <f>R28+S28</f>
        <v>557232.5</v>
      </c>
      <c r="U28" s="521">
        <f>Q28+T28</f>
        <v>592103.69999999995</v>
      </c>
      <c r="V28" s="820">
        <v>334.5</v>
      </c>
      <c r="W28" s="521">
        <f t="shared" si="28"/>
        <v>123436.5</v>
      </c>
      <c r="X28" s="521">
        <f t="shared" si="29"/>
        <v>626723.9</v>
      </c>
      <c r="Y28" s="820" t="s">
        <v>836</v>
      </c>
      <c r="Z28" s="820" t="s">
        <v>836</v>
      </c>
      <c r="AA28" s="519" t="s">
        <v>1206</v>
      </c>
      <c r="AB28" s="521">
        <v>0</v>
      </c>
      <c r="AC28" s="820">
        <f>360.4+1924.1+1.6+5992.3+1782.7+540+7.4+294.9</f>
        <v>10903.4</v>
      </c>
      <c r="AD28" s="845">
        <f>5578.5+1193+3277.5+379.3+18+143.3+57.8+335349+413.7+81867+3081.9</f>
        <v>431359.00000000006</v>
      </c>
      <c r="AE28" s="521">
        <f>AC28+AD28</f>
        <v>442262.40000000008</v>
      </c>
      <c r="AF28" s="521">
        <v>0</v>
      </c>
      <c r="AG28" s="820">
        <f>1051.2+0+115.3</f>
        <v>1166.5</v>
      </c>
      <c r="AH28" s="845">
        <f>18275.3+421.9</f>
        <v>18697.2</v>
      </c>
      <c r="AI28" s="521">
        <f>AG28+AH28</f>
        <v>19863.7</v>
      </c>
      <c r="AJ28" s="845">
        <f>3701.6+2804.4</f>
        <v>6506</v>
      </c>
      <c r="AK28" s="820">
        <f>124799.9+2777.8+0.2+260.8+38.5+169.7</f>
        <v>128046.9</v>
      </c>
      <c r="AL28" s="820">
        <f>562.6+1751.7+216.6+8989.9</f>
        <v>11520.8</v>
      </c>
      <c r="AM28" s="521">
        <f>AK28+AL28</f>
        <v>139567.69999999998</v>
      </c>
      <c r="AN28" s="521">
        <f t="shared" si="30"/>
        <v>6506</v>
      </c>
      <c r="AO28" s="521">
        <f t="shared" si="20"/>
        <v>140116.79999999999</v>
      </c>
      <c r="AP28" s="521">
        <f t="shared" si="20"/>
        <v>461577.00000000006</v>
      </c>
      <c r="AQ28" s="521">
        <f t="shared" si="20"/>
        <v>601693.80000000005</v>
      </c>
      <c r="AR28" s="519" t="s">
        <v>1206</v>
      </c>
      <c r="AS28" s="820">
        <v>6122.6</v>
      </c>
      <c r="AT28" s="820">
        <v>8574.5</v>
      </c>
      <c r="AU28" s="820">
        <v>9492.4</v>
      </c>
      <c r="AV28" s="845">
        <f>0+65+35+2</f>
        <v>102</v>
      </c>
      <c r="AW28" s="820">
        <f>592135.1-8.2</f>
        <v>592126.9</v>
      </c>
      <c r="AX28" s="845">
        <v>6686</v>
      </c>
      <c r="AY28" s="521">
        <f>AW28+AX28</f>
        <v>598812.9</v>
      </c>
      <c r="AZ28" s="521">
        <f t="shared" si="21"/>
        <v>35928.773999999998</v>
      </c>
      <c r="BA28" s="520">
        <f>BB28-AZ28</f>
        <v>814.12600000000384</v>
      </c>
      <c r="BB28" s="820">
        <v>36742.9</v>
      </c>
      <c r="BC28" s="845">
        <v>1520548</v>
      </c>
      <c r="BD28" s="520">
        <f t="shared" si="8"/>
        <v>113670.29999999999</v>
      </c>
      <c r="BE28" s="845">
        <f>898.6+143.1</f>
        <v>1041.7</v>
      </c>
      <c r="BF28" s="845">
        <f>20919-143.1</f>
        <v>20775.900000000001</v>
      </c>
      <c r="BG28" s="845">
        <f>1051.2+360.4+1924.1</f>
        <v>3335.7</v>
      </c>
      <c r="BH28" s="845">
        <f>124799.9+2777.8</f>
        <v>127577.7</v>
      </c>
      <c r="BI28" s="521">
        <f t="shared" si="22"/>
        <v>152731</v>
      </c>
      <c r="BJ28" s="519" t="s">
        <v>1206</v>
      </c>
      <c r="BK28" s="520"/>
      <c r="BL28" s="531">
        <v>-0.16</v>
      </c>
      <c r="BM28" s="531">
        <v>11.61</v>
      </c>
      <c r="BN28" s="531">
        <v>3.18</v>
      </c>
      <c r="BO28" s="531">
        <v>2.68</v>
      </c>
      <c r="BP28" s="531">
        <v>3.85</v>
      </c>
      <c r="BQ28" s="531" t="s">
        <v>836</v>
      </c>
      <c r="BR28" s="531">
        <v>118535.58</v>
      </c>
      <c r="BS28" s="532">
        <v>2149888</v>
      </c>
      <c r="BT28" s="532">
        <v>8482</v>
      </c>
      <c r="BU28" s="532">
        <v>3503</v>
      </c>
      <c r="BV28" s="531">
        <f t="shared" si="23"/>
        <v>101.61568407042478</v>
      </c>
      <c r="BW28" s="531">
        <f t="shared" si="24"/>
        <v>69.809820796981853</v>
      </c>
      <c r="BX28" s="531">
        <f t="shared" si="25"/>
        <v>70.937726951190768</v>
      </c>
      <c r="BY28" s="531">
        <f t="shared" si="26"/>
        <v>7.5175439589047546</v>
      </c>
      <c r="BZ28" s="531">
        <v>5</v>
      </c>
      <c r="CA28" s="531">
        <v>8.5</v>
      </c>
      <c r="CB28" s="531">
        <v>13.51</v>
      </c>
      <c r="CC28" s="531">
        <f t="shared" si="27"/>
        <v>5.01</v>
      </c>
      <c r="CD28" s="531">
        <v>13.87</v>
      </c>
      <c r="CE28" s="531">
        <v>17.420000000000002</v>
      </c>
      <c r="CF28" s="531">
        <v>3.55</v>
      </c>
    </row>
    <row r="29" spans="2:84" s="482" customFormat="1" ht="9.75" hidden="1" customHeight="1">
      <c r="I29" s="431" t="s">
        <v>1213</v>
      </c>
      <c r="J29" s="432"/>
      <c r="K29" s="852">
        <v>82332.2</v>
      </c>
      <c r="L29" s="852">
        <v>768</v>
      </c>
      <c r="M29" s="852">
        <f t="shared" ref="M29:M50" si="31">K29+L29</f>
        <v>83100.2</v>
      </c>
      <c r="N29" s="852">
        <v>7659.3</v>
      </c>
      <c r="O29" s="852">
        <f t="shared" ref="O29:O50" si="32">M29-N29</f>
        <v>75440.899999999994</v>
      </c>
      <c r="P29" s="857">
        <v>13748.5</v>
      </c>
      <c r="Q29" s="852">
        <v>35579</v>
      </c>
      <c r="R29" s="857">
        <v>51925.4</v>
      </c>
      <c r="S29" s="857">
        <v>512615.4</v>
      </c>
      <c r="T29" s="433">
        <f>R29+S29</f>
        <v>564540.80000000005</v>
      </c>
      <c r="U29" s="433">
        <f>Q29+T29</f>
        <v>600119.80000000005</v>
      </c>
      <c r="V29" s="857">
        <v>335.6</v>
      </c>
      <c r="W29" s="433">
        <f t="shared" si="28"/>
        <v>127701.9</v>
      </c>
      <c r="X29" s="433">
        <f t="shared" si="29"/>
        <v>640317.30000000005</v>
      </c>
      <c r="Y29" s="857" t="s">
        <v>836</v>
      </c>
      <c r="Z29" s="857" t="s">
        <v>836</v>
      </c>
      <c r="AA29" s="431" t="s">
        <v>1213</v>
      </c>
      <c r="AB29" s="433">
        <v>0</v>
      </c>
      <c r="AC29" s="857">
        <v>11488.6</v>
      </c>
      <c r="AD29" s="852">
        <v>433710.8</v>
      </c>
      <c r="AE29" s="433">
        <f t="shared" ref="AE29:AE50" si="33">AC29+AD29</f>
        <v>445199.39999999997</v>
      </c>
      <c r="AF29" s="433">
        <v>0</v>
      </c>
      <c r="AG29" s="857">
        <v>1301.9000000000001</v>
      </c>
      <c r="AH29" s="852">
        <v>18844.099999999999</v>
      </c>
      <c r="AI29" s="433">
        <f t="shared" ref="AI29:AI50" si="34">AG29+AH29</f>
        <v>20146</v>
      </c>
      <c r="AJ29" s="882">
        <v>6579</v>
      </c>
      <c r="AK29" s="882">
        <v>128394</v>
      </c>
      <c r="AL29" s="882">
        <v>11728</v>
      </c>
      <c r="AM29" s="824">
        <f t="shared" ref="AM29:AM50" si="35">AK29+AL29</f>
        <v>140122</v>
      </c>
      <c r="AN29" s="433">
        <f t="shared" si="30"/>
        <v>6579</v>
      </c>
      <c r="AO29" s="433">
        <f t="shared" si="20"/>
        <v>141184.5</v>
      </c>
      <c r="AP29" s="433">
        <f t="shared" si="20"/>
        <v>464282.89999999997</v>
      </c>
      <c r="AQ29" s="433">
        <f t="shared" si="20"/>
        <v>605467.39999999991</v>
      </c>
      <c r="AR29" s="431" t="s">
        <v>1213</v>
      </c>
      <c r="AS29" s="857">
        <v>6485.4</v>
      </c>
      <c r="AT29" s="857">
        <v>6303.4</v>
      </c>
      <c r="AU29" s="857">
        <v>10632.6</v>
      </c>
      <c r="AV29" s="852">
        <f>10+193.3+22</f>
        <v>225.3</v>
      </c>
      <c r="AW29" s="857">
        <f>600182.9-9.4</f>
        <v>600173.5</v>
      </c>
      <c r="AX29" s="852">
        <v>7106.8</v>
      </c>
      <c r="AY29" s="433">
        <f t="shared" ref="AY29:AY50" si="36">AW29+AX29</f>
        <v>607280.30000000005</v>
      </c>
      <c r="AZ29" s="433">
        <f t="shared" si="21"/>
        <v>36436.817999999999</v>
      </c>
      <c r="BA29" s="432">
        <f>BB29-AZ29</f>
        <v>1476.9820000000036</v>
      </c>
      <c r="BB29" s="857">
        <v>37913.800000000003</v>
      </c>
      <c r="BC29" s="852">
        <v>1547626.4</v>
      </c>
      <c r="BD29" s="432">
        <f t="shared" si="8"/>
        <v>121014</v>
      </c>
      <c r="BE29" s="852">
        <f>4000+1564</f>
        <v>5564</v>
      </c>
      <c r="BF29" s="852">
        <f>22307.3-1564</f>
        <v>20743.3</v>
      </c>
      <c r="BG29" s="852">
        <f>1185.9+331.4+2222</f>
        <v>3739.3</v>
      </c>
      <c r="BH29" s="852">
        <f>124848.8+3084.1</f>
        <v>127932.90000000001</v>
      </c>
      <c r="BI29" s="433">
        <f t="shared" si="22"/>
        <v>157979.5</v>
      </c>
      <c r="BJ29" s="431" t="s">
        <v>1213</v>
      </c>
      <c r="BK29" s="432"/>
      <c r="BL29" s="483">
        <v>4.03</v>
      </c>
      <c r="BM29" s="483">
        <v>14.9</v>
      </c>
      <c r="BN29" s="483">
        <v>3.77</v>
      </c>
      <c r="BO29" s="483">
        <v>4</v>
      </c>
      <c r="BP29" s="483">
        <v>6.1</v>
      </c>
      <c r="BQ29" s="483" t="s">
        <v>836</v>
      </c>
      <c r="BR29" s="483">
        <v>103968.36</v>
      </c>
      <c r="BS29" s="739">
        <v>1921270</v>
      </c>
      <c r="BT29" s="739">
        <v>8514</v>
      </c>
      <c r="BU29" s="739">
        <v>3507</v>
      </c>
      <c r="BV29" s="483">
        <f t="shared" si="23"/>
        <v>100.88206160385286</v>
      </c>
      <c r="BW29" s="483">
        <f t="shared" si="24"/>
        <v>70.492541696030074</v>
      </c>
      <c r="BX29" s="483">
        <f t="shared" si="25"/>
        <v>71.114329339910725</v>
      </c>
      <c r="BY29" s="483">
        <f t="shared" si="26"/>
        <v>7.5933209313640146</v>
      </c>
      <c r="BZ29" s="483">
        <v>5</v>
      </c>
      <c r="CA29" s="483">
        <v>8.4700000000000006</v>
      </c>
      <c r="CB29" s="483">
        <v>13.42</v>
      </c>
      <c r="CC29" s="483">
        <f t="shared" si="27"/>
        <v>4.9499999999999993</v>
      </c>
      <c r="CD29" s="482" t="s">
        <v>836</v>
      </c>
      <c r="CE29" s="482" t="s">
        <v>836</v>
      </c>
      <c r="CF29" s="482" t="s">
        <v>836</v>
      </c>
    </row>
    <row r="30" spans="2:84" s="482" customFormat="1" ht="9.75" hidden="1" customHeight="1">
      <c r="I30" s="519" t="s">
        <v>1214</v>
      </c>
      <c r="J30" s="520"/>
      <c r="K30" s="845">
        <v>79510.899999999994</v>
      </c>
      <c r="L30" s="845">
        <v>768</v>
      </c>
      <c r="M30" s="845">
        <f t="shared" si="31"/>
        <v>80278.899999999994</v>
      </c>
      <c r="N30" s="845">
        <v>8411.7999999999993</v>
      </c>
      <c r="O30" s="845">
        <f t="shared" si="32"/>
        <v>71867.099999999991</v>
      </c>
      <c r="P30" s="820">
        <v>13521.7</v>
      </c>
      <c r="Q30" s="845">
        <v>37899.800000000003</v>
      </c>
      <c r="R30" s="820">
        <v>51804.2</v>
      </c>
      <c r="S30" s="820">
        <v>518567.9</v>
      </c>
      <c r="T30" s="521">
        <f t="shared" ref="T30:T50" si="37">R30+S30</f>
        <v>570372.1</v>
      </c>
      <c r="U30" s="521">
        <f t="shared" ref="U30:U50" si="38">Q30+T30</f>
        <v>608271.9</v>
      </c>
      <c r="V30" s="820">
        <v>336.7</v>
      </c>
      <c r="W30" s="521">
        <f t="shared" si="28"/>
        <v>124007.99999999999</v>
      </c>
      <c r="X30" s="521">
        <f t="shared" si="29"/>
        <v>642575.9</v>
      </c>
      <c r="Y30" s="820" t="s">
        <v>836</v>
      </c>
      <c r="Z30" s="820" t="s">
        <v>836</v>
      </c>
      <c r="AA30" s="519" t="s">
        <v>1214</v>
      </c>
      <c r="AB30" s="521">
        <v>0</v>
      </c>
      <c r="AC30" s="820">
        <v>11763.1</v>
      </c>
      <c r="AD30" s="845">
        <v>436244.1</v>
      </c>
      <c r="AE30" s="521">
        <f t="shared" si="33"/>
        <v>448007.19999999995</v>
      </c>
      <c r="AF30" s="521">
        <v>0</v>
      </c>
      <c r="AG30" s="820">
        <v>1244.5</v>
      </c>
      <c r="AH30" s="845">
        <v>18711.099999999999</v>
      </c>
      <c r="AI30" s="521">
        <f t="shared" si="34"/>
        <v>19955.599999999999</v>
      </c>
      <c r="AJ30" s="849">
        <v>6052.4</v>
      </c>
      <c r="AK30" s="732">
        <v>134150.6</v>
      </c>
      <c r="AL30" s="732">
        <v>12102.8</v>
      </c>
      <c r="AM30" s="851">
        <f t="shared" si="35"/>
        <v>146253.4</v>
      </c>
      <c r="AN30" s="521">
        <f t="shared" si="30"/>
        <v>6052.4</v>
      </c>
      <c r="AO30" s="521">
        <f t="shared" ref="AO30:AQ31" si="39">AC30+AG30+AK30</f>
        <v>147158.20000000001</v>
      </c>
      <c r="AP30" s="521">
        <f t="shared" si="39"/>
        <v>467057.99999999994</v>
      </c>
      <c r="AQ30" s="521">
        <f t="shared" si="39"/>
        <v>614216.19999999995</v>
      </c>
      <c r="AR30" s="519" t="s">
        <v>1214</v>
      </c>
      <c r="AS30" s="820">
        <v>7047.8</v>
      </c>
      <c r="AT30" s="820">
        <v>6305.4</v>
      </c>
      <c r="AU30" s="820">
        <v>10049.299999999999</v>
      </c>
      <c r="AV30" s="845">
        <f>10+755</f>
        <v>765</v>
      </c>
      <c r="AW30" s="820">
        <f>608301.9-8.4</f>
        <v>608293.5</v>
      </c>
      <c r="AX30" s="845">
        <v>6962.6</v>
      </c>
      <c r="AY30" s="521">
        <f t="shared" si="36"/>
        <v>615256.1</v>
      </c>
      <c r="AZ30" s="521">
        <f t="shared" si="21"/>
        <v>36915.365999999995</v>
      </c>
      <c r="BA30" s="520">
        <f t="shared" ref="BA30:BA50" si="40">BB30-AZ30</f>
        <v>3033.734000000004</v>
      </c>
      <c r="BB30" s="820">
        <v>39949.1</v>
      </c>
      <c r="BC30" s="845">
        <v>1559865.2</v>
      </c>
      <c r="BD30" s="520">
        <f t="shared" ref="BD30:BD50" si="41">M30+BB30</f>
        <v>120228</v>
      </c>
      <c r="BE30" s="845">
        <f>2335.8+150</f>
        <v>2485.8000000000002</v>
      </c>
      <c r="BF30" s="845">
        <f>20812.7-150</f>
        <v>20662.7</v>
      </c>
      <c r="BG30" s="845">
        <f>1132.3+227.9+2248.6</f>
        <v>3608.8</v>
      </c>
      <c r="BH30" s="845">
        <f>130508.2+3167.3</f>
        <v>133675.5</v>
      </c>
      <c r="BI30" s="521">
        <f t="shared" si="22"/>
        <v>160432.79999999999</v>
      </c>
      <c r="BJ30" s="519" t="s">
        <v>1214</v>
      </c>
      <c r="BK30" s="520"/>
      <c r="BL30" s="531">
        <v>3.46</v>
      </c>
      <c r="BM30" s="531">
        <v>18.75</v>
      </c>
      <c r="BN30" s="531">
        <v>4.41</v>
      </c>
      <c r="BO30" s="531">
        <v>4.46</v>
      </c>
      <c r="BP30" s="531">
        <v>6.47</v>
      </c>
      <c r="BQ30" s="531" t="s">
        <v>836</v>
      </c>
      <c r="BR30" s="531">
        <v>101640.26</v>
      </c>
      <c r="BS30" s="532">
        <v>1844617</v>
      </c>
      <c r="BT30" s="532">
        <v>8560</v>
      </c>
      <c r="BU30" s="532">
        <v>3513</v>
      </c>
      <c r="BV30" s="531">
        <f t="shared" si="23"/>
        <v>100.97365827515827</v>
      </c>
      <c r="BW30" s="531">
        <f t="shared" si="24"/>
        <v>71.062324766355147</v>
      </c>
      <c r="BX30" s="531">
        <f t="shared" si="25"/>
        <v>71.754228971962618</v>
      </c>
      <c r="BY30" s="531">
        <f t="shared" si="26"/>
        <v>7.9502575648104079</v>
      </c>
      <c r="BZ30" s="531">
        <v>5</v>
      </c>
      <c r="CA30" s="531">
        <v>8.4499999999999993</v>
      </c>
      <c r="CB30" s="531">
        <v>13.42</v>
      </c>
      <c r="CC30" s="531">
        <f t="shared" si="27"/>
        <v>4.9700000000000006</v>
      </c>
      <c r="CD30" s="530" t="s">
        <v>836</v>
      </c>
      <c r="CE30" s="530" t="s">
        <v>836</v>
      </c>
      <c r="CF30" s="530" t="s">
        <v>836</v>
      </c>
    </row>
    <row r="31" spans="2:84" s="482" customFormat="1" ht="9.75" hidden="1" customHeight="1">
      <c r="I31" s="431" t="s">
        <v>1207</v>
      </c>
      <c r="J31" s="432"/>
      <c r="K31" s="852">
        <v>81903.199999999997</v>
      </c>
      <c r="L31" s="852">
        <v>767.7</v>
      </c>
      <c r="M31" s="852">
        <f t="shared" si="31"/>
        <v>82670.899999999994</v>
      </c>
      <c r="N31" s="852">
        <v>9787.2000000000007</v>
      </c>
      <c r="O31" s="852">
        <f t="shared" si="32"/>
        <v>72883.7</v>
      </c>
      <c r="P31" s="857">
        <v>14747.8</v>
      </c>
      <c r="Q31" s="852">
        <v>39414.300000000003</v>
      </c>
      <c r="R31" s="852">
        <v>55365</v>
      </c>
      <c r="S31" s="857">
        <v>525331.6</v>
      </c>
      <c r="T31" s="433">
        <f t="shared" si="37"/>
        <v>580696.6</v>
      </c>
      <c r="U31" s="433">
        <f t="shared" si="38"/>
        <v>620110.9</v>
      </c>
      <c r="V31" s="857">
        <v>386.3</v>
      </c>
      <c r="W31" s="433">
        <f t="shared" si="28"/>
        <v>128635</v>
      </c>
      <c r="X31" s="433">
        <f t="shared" si="29"/>
        <v>653966.6</v>
      </c>
      <c r="Y31" s="857" t="s">
        <v>836</v>
      </c>
      <c r="Z31" s="857" t="s">
        <v>836</v>
      </c>
      <c r="AA31" s="431" t="s">
        <v>1207</v>
      </c>
      <c r="AB31" s="433">
        <v>0</v>
      </c>
      <c r="AC31" s="857">
        <v>12968.8</v>
      </c>
      <c r="AD31" s="852">
        <v>443829.6</v>
      </c>
      <c r="AE31" s="433">
        <f t="shared" si="33"/>
        <v>456798.39999999997</v>
      </c>
      <c r="AF31" s="433">
        <v>0</v>
      </c>
      <c r="AG31" s="857">
        <v>1126.2</v>
      </c>
      <c r="AH31" s="852">
        <v>18226.400000000001</v>
      </c>
      <c r="AI31" s="433">
        <f t="shared" si="34"/>
        <v>19352.600000000002</v>
      </c>
      <c r="AJ31" s="882">
        <v>7648.3</v>
      </c>
      <c r="AK31" s="700">
        <v>136172.70000000001</v>
      </c>
      <c r="AL31" s="700">
        <v>12417.5</v>
      </c>
      <c r="AM31" s="824">
        <f t="shared" si="35"/>
        <v>148590.20000000001</v>
      </c>
      <c r="AN31" s="433">
        <f t="shared" si="30"/>
        <v>7648.3</v>
      </c>
      <c r="AO31" s="433">
        <f t="shared" si="39"/>
        <v>150267.70000000001</v>
      </c>
      <c r="AP31" s="433">
        <f t="shared" si="39"/>
        <v>474473.5</v>
      </c>
      <c r="AQ31" s="433">
        <f t="shared" si="39"/>
        <v>624741.19999999995</v>
      </c>
      <c r="AR31" s="431" t="s">
        <v>1207</v>
      </c>
      <c r="AS31" s="857">
        <v>6356.8</v>
      </c>
      <c r="AT31" s="857">
        <v>6650.1</v>
      </c>
      <c r="AU31" s="857">
        <v>7445.7</v>
      </c>
      <c r="AV31" s="852">
        <f>4.5+1</f>
        <v>5.5</v>
      </c>
      <c r="AW31" s="857">
        <f>620140.3-7.7</f>
        <v>620132.60000000009</v>
      </c>
      <c r="AX31" s="852">
        <v>7205.1</v>
      </c>
      <c r="AY31" s="433">
        <f t="shared" si="36"/>
        <v>627337.70000000007</v>
      </c>
      <c r="AZ31" s="433">
        <f t="shared" si="21"/>
        <v>37640.262000000002</v>
      </c>
      <c r="BA31" s="432">
        <f t="shared" si="40"/>
        <v>524.23799999999756</v>
      </c>
      <c r="BB31" s="857">
        <v>38164.5</v>
      </c>
      <c r="BC31" s="852">
        <v>1494796.1</v>
      </c>
      <c r="BD31" s="432">
        <f t="shared" si="41"/>
        <v>120835.4</v>
      </c>
      <c r="BE31" s="852">
        <f>3220+151.9</f>
        <v>3371.9</v>
      </c>
      <c r="BF31" s="852">
        <f>20537.6</f>
        <v>20537.599999999999</v>
      </c>
      <c r="BG31" s="852">
        <f>1044+354+2202.9</f>
        <v>3600.9</v>
      </c>
      <c r="BH31" s="852">
        <f>133433.7+2235.2</f>
        <v>135668.90000000002</v>
      </c>
      <c r="BI31" s="433">
        <f t="shared" si="22"/>
        <v>163179.30000000002</v>
      </c>
      <c r="BJ31" s="431" t="s">
        <v>1207</v>
      </c>
      <c r="BK31" s="432"/>
      <c r="BL31" s="483">
        <v>4.29</v>
      </c>
      <c r="BM31" s="483">
        <v>30.69</v>
      </c>
      <c r="BN31" s="483">
        <v>5.88</v>
      </c>
      <c r="BO31" s="483">
        <v>5.99</v>
      </c>
      <c r="BP31" s="483">
        <v>8.36</v>
      </c>
      <c r="BQ31" s="483" t="s">
        <v>836</v>
      </c>
      <c r="BR31" s="483">
        <v>106063.33</v>
      </c>
      <c r="BS31" s="739">
        <v>1988977</v>
      </c>
      <c r="BT31" s="739">
        <v>8685</v>
      </c>
      <c r="BU31" s="739">
        <v>3520</v>
      </c>
      <c r="BV31" s="483">
        <f t="shared" si="23"/>
        <v>100.74316363951836</v>
      </c>
      <c r="BW31" s="483">
        <f t="shared" si="24"/>
        <v>71.402717328727704</v>
      </c>
      <c r="BX31" s="483">
        <f t="shared" si="25"/>
        <v>71.933356361542891</v>
      </c>
      <c r="BY31" s="483">
        <f t="shared" si="26"/>
        <v>7.7324914058702916</v>
      </c>
      <c r="BZ31" s="483">
        <v>5</v>
      </c>
      <c r="CA31" s="483">
        <v>8.39</v>
      </c>
      <c r="CB31" s="483">
        <v>13.45</v>
      </c>
      <c r="CC31" s="483">
        <f t="shared" si="27"/>
        <v>5.0599999999999987</v>
      </c>
      <c r="CD31" s="482">
        <v>13.43</v>
      </c>
      <c r="CE31" s="482">
        <v>17.37</v>
      </c>
      <c r="CF31" s="482">
        <v>3.94</v>
      </c>
    </row>
    <row r="32" spans="2:84" s="482" customFormat="1" ht="9.75" hidden="1" customHeight="1">
      <c r="I32" s="519" t="s">
        <v>1215</v>
      </c>
      <c r="J32" s="520"/>
      <c r="K32" s="845">
        <v>80215.899999999994</v>
      </c>
      <c r="L32" s="845">
        <v>767.9</v>
      </c>
      <c r="M32" s="845">
        <f t="shared" si="31"/>
        <v>80983.799999999988</v>
      </c>
      <c r="N32" s="845">
        <v>7216.4</v>
      </c>
      <c r="O32" s="845">
        <f t="shared" si="32"/>
        <v>73767.399999999994</v>
      </c>
      <c r="P32" s="820">
        <v>14032.1</v>
      </c>
      <c r="Q32" s="845">
        <v>37935.300000000003</v>
      </c>
      <c r="R32" s="820">
        <v>55681.8</v>
      </c>
      <c r="S32" s="820">
        <v>523959.9</v>
      </c>
      <c r="T32" s="521">
        <f t="shared" si="37"/>
        <v>579641.70000000007</v>
      </c>
      <c r="U32" s="521">
        <f t="shared" si="38"/>
        <v>617577.00000000012</v>
      </c>
      <c r="V32" s="820">
        <v>356.4</v>
      </c>
      <c r="W32" s="521">
        <f t="shared" si="28"/>
        <v>129805.59999999999</v>
      </c>
      <c r="X32" s="521">
        <f t="shared" si="29"/>
        <v>653765.5</v>
      </c>
      <c r="Y32" s="820" t="s">
        <v>836</v>
      </c>
      <c r="Z32" s="820" t="s">
        <v>836</v>
      </c>
      <c r="AA32" s="519" t="s">
        <v>1215</v>
      </c>
      <c r="AB32" s="521">
        <v>0</v>
      </c>
      <c r="AC32" s="820">
        <v>12938.2</v>
      </c>
      <c r="AD32" s="845">
        <v>443522.5</v>
      </c>
      <c r="AE32" s="521">
        <f t="shared" si="33"/>
        <v>456460.7</v>
      </c>
      <c r="AF32" s="521">
        <v>0</v>
      </c>
      <c r="AG32" s="820">
        <v>1132.4000000000001</v>
      </c>
      <c r="AH32" s="845">
        <v>17833.099999999999</v>
      </c>
      <c r="AI32" s="521">
        <f t="shared" si="34"/>
        <v>18965.5</v>
      </c>
      <c r="AJ32" s="849">
        <v>5798</v>
      </c>
      <c r="AK32" s="732">
        <v>138376.20000000001</v>
      </c>
      <c r="AL32" s="732">
        <v>12537.7</v>
      </c>
      <c r="AM32" s="851">
        <f t="shared" si="35"/>
        <v>150913.90000000002</v>
      </c>
      <c r="AN32" s="521">
        <f t="shared" si="30"/>
        <v>5798</v>
      </c>
      <c r="AO32" s="521">
        <f t="shared" ref="AO32:AQ37" si="42">AC32+AG32+AK32</f>
        <v>152446.80000000002</v>
      </c>
      <c r="AP32" s="521">
        <f t="shared" si="42"/>
        <v>473893.3</v>
      </c>
      <c r="AQ32" s="521">
        <f t="shared" si="42"/>
        <v>626340.10000000009</v>
      </c>
      <c r="AR32" s="519" t="s">
        <v>1215</v>
      </c>
      <c r="AS32" s="845">
        <v>6294</v>
      </c>
      <c r="AT32" s="820">
        <v>5988.2</v>
      </c>
      <c r="AU32" s="820">
        <v>8296.4</v>
      </c>
      <c r="AV32" s="845">
        <f>83.3+10+1</f>
        <v>94.3</v>
      </c>
      <c r="AW32" s="820">
        <f>617606.1-7.4</f>
        <v>617598.69999999995</v>
      </c>
      <c r="AX32" s="845">
        <v>7983</v>
      </c>
      <c r="AY32" s="521">
        <f t="shared" si="36"/>
        <v>625581.69999999995</v>
      </c>
      <c r="AZ32" s="521">
        <f t="shared" si="21"/>
        <v>37534.901999999995</v>
      </c>
      <c r="BA32" s="520">
        <f t="shared" si="40"/>
        <v>2702.7980000000025</v>
      </c>
      <c r="BB32" s="820">
        <v>40237.699999999997</v>
      </c>
      <c r="BC32" s="845">
        <v>1511638.2</v>
      </c>
      <c r="BD32" s="520">
        <f t="shared" si="41"/>
        <v>121221.49999999999</v>
      </c>
      <c r="BE32" s="845">
        <f>339.7+87.9</f>
        <v>427.6</v>
      </c>
      <c r="BF32" s="845">
        <f>20126.4</f>
        <v>20126.400000000001</v>
      </c>
      <c r="BG32" s="845">
        <f>1076.1+318.1+2045.3</f>
        <v>3439.5</v>
      </c>
      <c r="BH32" s="845">
        <f>135749+2156</f>
        <v>137905</v>
      </c>
      <c r="BI32" s="521">
        <f t="shared" si="22"/>
        <v>161898.5</v>
      </c>
      <c r="BJ32" s="519" t="s">
        <v>1215</v>
      </c>
      <c r="BK32" s="520"/>
      <c r="BL32" s="531">
        <v>4.37</v>
      </c>
      <c r="BM32" s="531">
        <v>31.1</v>
      </c>
      <c r="BN32" s="531">
        <v>5.74</v>
      </c>
      <c r="BO32" s="531">
        <v>5.9</v>
      </c>
      <c r="BP32" s="531">
        <v>8.08</v>
      </c>
      <c r="BQ32" s="531" t="s">
        <v>836</v>
      </c>
      <c r="BR32" s="531">
        <v>115818.87</v>
      </c>
      <c r="BS32" s="532">
        <v>2276933</v>
      </c>
      <c r="BT32" s="532">
        <v>8693</v>
      </c>
      <c r="BU32" s="532">
        <v>3523</v>
      </c>
      <c r="BV32" s="531">
        <f t="shared" si="23"/>
        <v>101.415385103628</v>
      </c>
      <c r="BW32" s="531">
        <f t="shared" si="24"/>
        <v>71.045519383411929</v>
      </c>
      <c r="BX32" s="531">
        <f t="shared" si="25"/>
        <v>72.051087081559885</v>
      </c>
      <c r="BY32" s="531">
        <f t="shared" si="26"/>
        <v>7.6836463548255534</v>
      </c>
      <c r="BZ32" s="531">
        <v>5</v>
      </c>
      <c r="CA32" s="531">
        <v>8.4</v>
      </c>
      <c r="CB32" s="531">
        <v>13.39</v>
      </c>
      <c r="CC32" s="531">
        <f t="shared" si="27"/>
        <v>4.99</v>
      </c>
      <c r="CD32" s="530" t="s">
        <v>836</v>
      </c>
      <c r="CE32" s="530" t="s">
        <v>836</v>
      </c>
      <c r="CF32" s="530" t="s">
        <v>836</v>
      </c>
    </row>
    <row r="33" spans="9:84" s="482" customFormat="1" ht="9.75" hidden="1" customHeight="1">
      <c r="I33" s="431" t="s">
        <v>1216</v>
      </c>
      <c r="J33" s="432"/>
      <c r="K33" s="852">
        <v>79716.7</v>
      </c>
      <c r="L33" s="852">
        <v>768</v>
      </c>
      <c r="M33" s="852">
        <f t="shared" si="31"/>
        <v>80484.7</v>
      </c>
      <c r="N33" s="852">
        <v>7106.5</v>
      </c>
      <c r="O33" s="852">
        <f t="shared" si="32"/>
        <v>73378.2</v>
      </c>
      <c r="P33" s="857">
        <v>12961.9</v>
      </c>
      <c r="Q33" s="852">
        <v>37663.4</v>
      </c>
      <c r="R33" s="857">
        <v>58551.7</v>
      </c>
      <c r="S33" s="857">
        <v>530033.4</v>
      </c>
      <c r="T33" s="433">
        <f t="shared" si="37"/>
        <v>588585.1</v>
      </c>
      <c r="U33" s="433">
        <f t="shared" si="38"/>
        <v>626248.5</v>
      </c>
      <c r="V33" s="857">
        <v>348.2</v>
      </c>
      <c r="W33" s="433">
        <f t="shared" si="28"/>
        <v>132278.1</v>
      </c>
      <c r="X33" s="433">
        <f t="shared" si="29"/>
        <v>662311.5</v>
      </c>
      <c r="Y33" s="857" t="s">
        <v>836</v>
      </c>
      <c r="Z33" s="857" t="s">
        <v>836</v>
      </c>
      <c r="AA33" s="431" t="s">
        <v>1216</v>
      </c>
      <c r="AB33" s="433">
        <v>0</v>
      </c>
      <c r="AC33" s="857">
        <v>12940.7</v>
      </c>
      <c r="AD33" s="852">
        <v>446599.7</v>
      </c>
      <c r="AE33" s="433">
        <f t="shared" si="33"/>
        <v>459540.4</v>
      </c>
      <c r="AF33" s="433">
        <v>0</v>
      </c>
      <c r="AG33" s="857">
        <v>1135.5</v>
      </c>
      <c r="AH33" s="852">
        <v>17234.3</v>
      </c>
      <c r="AI33" s="433">
        <f t="shared" si="34"/>
        <v>18369.8</v>
      </c>
      <c r="AJ33" s="882">
        <v>5924.3</v>
      </c>
      <c r="AK33" s="700">
        <v>140702.29999999999</v>
      </c>
      <c r="AL33" s="700">
        <v>12130.2</v>
      </c>
      <c r="AM33" s="824">
        <f t="shared" si="35"/>
        <v>152832.5</v>
      </c>
      <c r="AN33" s="433">
        <f t="shared" si="30"/>
        <v>5924.3</v>
      </c>
      <c r="AO33" s="433">
        <f t="shared" si="42"/>
        <v>154778.5</v>
      </c>
      <c r="AP33" s="433">
        <f t="shared" si="42"/>
        <v>475964.2</v>
      </c>
      <c r="AQ33" s="433">
        <f t="shared" si="42"/>
        <v>630742.69999999995</v>
      </c>
      <c r="AR33" s="431" t="s">
        <v>1216</v>
      </c>
      <c r="AS33" s="852">
        <v>6537.1</v>
      </c>
      <c r="AT33" s="857">
        <v>5678.3</v>
      </c>
      <c r="AU33" s="857">
        <v>7570.4</v>
      </c>
      <c r="AV33" s="852">
        <f>10+4.5+1</f>
        <v>15.5</v>
      </c>
      <c r="AW33" s="857">
        <f>626281.7-7.6</f>
        <v>626274.1</v>
      </c>
      <c r="AX33" s="852">
        <v>7641.6</v>
      </c>
      <c r="AY33" s="433">
        <f t="shared" si="36"/>
        <v>633915.69999999995</v>
      </c>
      <c r="AZ33" s="433">
        <f t="shared" si="21"/>
        <v>38034.941999999995</v>
      </c>
      <c r="BA33" s="432">
        <f t="shared" si="40"/>
        <v>2570.7580000000016</v>
      </c>
      <c r="BB33" s="857">
        <v>40605.699999999997</v>
      </c>
      <c r="BC33" s="852">
        <v>1538399.5</v>
      </c>
      <c r="BD33" s="432">
        <f t="shared" si="41"/>
        <v>121090.4</v>
      </c>
      <c r="BE33" s="852">
        <f>377.8+99</f>
        <v>476.8</v>
      </c>
      <c r="BF33" s="852">
        <f>19652</f>
        <v>19652</v>
      </c>
      <c r="BG33" s="852">
        <f>1080.2+363+1771.5</f>
        <v>3214.7</v>
      </c>
      <c r="BH33" s="852">
        <f>138048.1+2199.5</f>
        <v>140247.6</v>
      </c>
      <c r="BI33" s="433">
        <f t="shared" si="22"/>
        <v>163591.1</v>
      </c>
      <c r="BJ33" s="431" t="s">
        <v>1216</v>
      </c>
      <c r="BK33" s="432"/>
      <c r="BL33" s="483">
        <v>5.35</v>
      </c>
      <c r="BM33" s="483">
        <v>33.39</v>
      </c>
      <c r="BN33" s="483">
        <v>6.2</v>
      </c>
      <c r="BO33" s="483">
        <v>6.48</v>
      </c>
      <c r="BP33" s="483">
        <v>9.74</v>
      </c>
      <c r="BQ33" s="483" t="s">
        <v>836</v>
      </c>
      <c r="BR33" s="483">
        <v>104128.53</v>
      </c>
      <c r="BS33" s="739">
        <v>2067482</v>
      </c>
      <c r="BT33" s="739">
        <v>8703</v>
      </c>
      <c r="BU33" s="739">
        <v>3525</v>
      </c>
      <c r="BV33" s="483">
        <f t="shared" si="23"/>
        <v>100.71352144372567</v>
      </c>
      <c r="BW33" s="483">
        <f t="shared" si="24"/>
        <v>71.960714696081808</v>
      </c>
      <c r="BX33" s="483">
        <f t="shared" si="25"/>
        <v>72.474169826496606</v>
      </c>
      <c r="BY33" s="483">
        <f t="shared" si="26"/>
        <v>7.6184213908893881</v>
      </c>
      <c r="BZ33" s="483">
        <v>5</v>
      </c>
      <c r="CA33" s="483">
        <v>8.34</v>
      </c>
      <c r="CB33" s="483">
        <v>13.4</v>
      </c>
      <c r="CC33" s="483">
        <f t="shared" si="27"/>
        <v>5.0600000000000005</v>
      </c>
      <c r="CD33" s="482" t="s">
        <v>836</v>
      </c>
      <c r="CE33" s="482" t="s">
        <v>836</v>
      </c>
      <c r="CF33" s="482" t="s">
        <v>836</v>
      </c>
    </row>
    <row r="34" spans="9:84" s="482" customFormat="1" ht="9.75" hidden="1" customHeight="1">
      <c r="I34" s="519" t="s">
        <v>1208</v>
      </c>
      <c r="J34" s="520"/>
      <c r="K34" s="845">
        <v>80068</v>
      </c>
      <c r="L34" s="845">
        <v>768.1</v>
      </c>
      <c r="M34" s="845">
        <f t="shared" si="31"/>
        <v>80836.100000000006</v>
      </c>
      <c r="N34" s="845">
        <v>7939.6</v>
      </c>
      <c r="O34" s="845">
        <f t="shared" si="32"/>
        <v>72896.5</v>
      </c>
      <c r="P34" s="820">
        <v>12774.9</v>
      </c>
      <c r="Q34" s="845">
        <v>38619</v>
      </c>
      <c r="R34" s="820">
        <v>60219.199999999997</v>
      </c>
      <c r="S34" s="820">
        <v>534194.5</v>
      </c>
      <c r="T34" s="521">
        <f t="shared" si="37"/>
        <v>594413.69999999995</v>
      </c>
      <c r="U34" s="521">
        <f t="shared" si="38"/>
        <v>633032.69999999995</v>
      </c>
      <c r="V34" s="820">
        <v>399.4</v>
      </c>
      <c r="W34" s="521">
        <f t="shared" si="28"/>
        <v>133515.1</v>
      </c>
      <c r="X34" s="521">
        <f t="shared" si="29"/>
        <v>667709.6</v>
      </c>
      <c r="Y34" s="820" t="s">
        <v>836</v>
      </c>
      <c r="Z34" s="820" t="s">
        <v>836</v>
      </c>
      <c r="AA34" s="519" t="s">
        <v>1208</v>
      </c>
      <c r="AB34" s="521">
        <v>0</v>
      </c>
      <c r="AC34" s="820">
        <v>13881.2</v>
      </c>
      <c r="AD34" s="845">
        <v>452499.3</v>
      </c>
      <c r="AE34" s="521">
        <f t="shared" si="33"/>
        <v>466380.5</v>
      </c>
      <c r="AF34" s="521">
        <v>0</v>
      </c>
      <c r="AG34" s="820">
        <v>1194.5</v>
      </c>
      <c r="AH34" s="845">
        <v>17373.900000000001</v>
      </c>
      <c r="AI34" s="521">
        <f t="shared" si="34"/>
        <v>18568.400000000001</v>
      </c>
      <c r="AJ34" s="849">
        <f>3884.1+1557.6</f>
        <v>5441.7</v>
      </c>
      <c r="AK34" s="732">
        <v>145950.70000000001</v>
      </c>
      <c r="AL34" s="732">
        <v>12294.1</v>
      </c>
      <c r="AM34" s="851">
        <f t="shared" si="35"/>
        <v>158244.80000000002</v>
      </c>
      <c r="AN34" s="521">
        <f t="shared" si="30"/>
        <v>5441.7</v>
      </c>
      <c r="AO34" s="521">
        <f t="shared" si="42"/>
        <v>161026.40000000002</v>
      </c>
      <c r="AP34" s="521">
        <f t="shared" si="42"/>
        <v>482167.3</v>
      </c>
      <c r="AQ34" s="521">
        <f t="shared" si="42"/>
        <v>643193.70000000007</v>
      </c>
      <c r="AR34" s="519" t="s">
        <v>1208</v>
      </c>
      <c r="AS34" s="845">
        <v>6073.7</v>
      </c>
      <c r="AT34" s="820">
        <v>6587.6</v>
      </c>
      <c r="AU34" s="820">
        <v>6526.8</v>
      </c>
      <c r="AV34" s="845">
        <f>10+3.3+1</f>
        <v>14.3</v>
      </c>
      <c r="AW34" s="820">
        <f>633065.9-7.5</f>
        <v>633058.4</v>
      </c>
      <c r="AX34" s="845">
        <v>7925.5</v>
      </c>
      <c r="AY34" s="521">
        <f t="shared" si="36"/>
        <v>640983.9</v>
      </c>
      <c r="AZ34" s="521">
        <f t="shared" si="21"/>
        <v>38459.034</v>
      </c>
      <c r="BA34" s="520">
        <f t="shared" si="40"/>
        <v>2017.8660000000018</v>
      </c>
      <c r="BB34" s="820">
        <v>40476.9</v>
      </c>
      <c r="BC34" s="845">
        <v>1577848.8</v>
      </c>
      <c r="BD34" s="520">
        <f t="shared" si="41"/>
        <v>121313</v>
      </c>
      <c r="BE34" s="845">
        <f>0+93.2</f>
        <v>93.2</v>
      </c>
      <c r="BF34" s="845">
        <f>19126.1</f>
        <v>19126.099999999999</v>
      </c>
      <c r="BG34" s="845">
        <f>1108.8+326.6+2074.1</f>
        <v>3509.5</v>
      </c>
      <c r="BH34" s="845">
        <f>142942.4+2531.5</f>
        <v>145473.9</v>
      </c>
      <c r="BI34" s="521">
        <f t="shared" si="22"/>
        <v>168202.69999999998</v>
      </c>
      <c r="BJ34" s="519" t="s">
        <v>1208</v>
      </c>
      <c r="BK34" s="520"/>
      <c r="BL34" s="531">
        <v>3.56</v>
      </c>
      <c r="BM34" s="531">
        <v>40.58</v>
      </c>
      <c r="BN34" s="531">
        <v>7.57</v>
      </c>
      <c r="BO34" s="531">
        <v>7.34</v>
      </c>
      <c r="BP34" s="531">
        <v>10.64</v>
      </c>
      <c r="BQ34" s="531" t="s">
        <v>836</v>
      </c>
      <c r="BR34" s="531">
        <v>117593.24</v>
      </c>
      <c r="BS34" s="532">
        <v>2245339</v>
      </c>
      <c r="BT34" s="532">
        <v>8728</v>
      </c>
      <c r="BU34" s="532">
        <v>3532</v>
      </c>
      <c r="BV34" s="531">
        <f t="shared" si="23"/>
        <v>101.60100553124325</v>
      </c>
      <c r="BW34" s="531">
        <f t="shared" si="24"/>
        <v>72.531897341888182</v>
      </c>
      <c r="BX34" s="531">
        <f t="shared" si="25"/>
        <v>73.693137030247485</v>
      </c>
      <c r="BY34" s="531">
        <f t="shared" si="26"/>
        <v>7.6480305766419026</v>
      </c>
      <c r="BZ34" s="531">
        <v>5</v>
      </c>
      <c r="CA34" s="531">
        <v>8.2100000000000009</v>
      </c>
      <c r="CB34" s="531">
        <v>13.36</v>
      </c>
      <c r="CC34" s="531">
        <f t="shared" si="27"/>
        <v>5.1499999999999986</v>
      </c>
      <c r="CD34" s="531">
        <v>13</v>
      </c>
      <c r="CE34" s="530">
        <v>17.170000000000002</v>
      </c>
      <c r="CF34" s="530">
        <v>4.17</v>
      </c>
    </row>
    <row r="35" spans="9:84" s="482" customFormat="1" ht="9.75" hidden="1" customHeight="1">
      <c r="I35" s="431" t="s">
        <v>1217</v>
      </c>
      <c r="J35" s="432"/>
      <c r="K35" s="852">
        <v>79756</v>
      </c>
      <c r="L35" s="852">
        <v>768.2</v>
      </c>
      <c r="M35" s="852">
        <f t="shared" si="31"/>
        <v>80524.2</v>
      </c>
      <c r="N35" s="852">
        <v>6606</v>
      </c>
      <c r="O35" s="852">
        <f t="shared" si="32"/>
        <v>73918.2</v>
      </c>
      <c r="P35" s="857">
        <v>12625.9</v>
      </c>
      <c r="Q35" s="852">
        <v>38378.699999999997</v>
      </c>
      <c r="R35" s="857">
        <v>57652.4</v>
      </c>
      <c r="S35" s="857">
        <v>541615.80000000005</v>
      </c>
      <c r="T35" s="433">
        <f t="shared" si="37"/>
        <v>599268.20000000007</v>
      </c>
      <c r="U35" s="433">
        <f t="shared" si="38"/>
        <v>637646.9</v>
      </c>
      <c r="V35" s="852">
        <v>386</v>
      </c>
      <c r="W35" s="433">
        <f t="shared" si="28"/>
        <v>131956.6</v>
      </c>
      <c r="X35" s="433">
        <f t="shared" si="29"/>
        <v>673572.4</v>
      </c>
      <c r="Y35" s="857" t="s">
        <v>836</v>
      </c>
      <c r="Z35" s="857" t="s">
        <v>836</v>
      </c>
      <c r="AA35" s="431" t="s">
        <v>1217</v>
      </c>
      <c r="AB35" s="433">
        <v>0</v>
      </c>
      <c r="AC35" s="852">
        <v>13071</v>
      </c>
      <c r="AD35" s="852">
        <v>457822.4</v>
      </c>
      <c r="AE35" s="433">
        <f t="shared" si="33"/>
        <v>470893.4</v>
      </c>
      <c r="AF35" s="433">
        <v>0</v>
      </c>
      <c r="AG35" s="857">
        <v>1111.5</v>
      </c>
      <c r="AH35" s="852">
        <v>17527.599999999999</v>
      </c>
      <c r="AI35" s="433">
        <f t="shared" si="34"/>
        <v>18639.099999999999</v>
      </c>
      <c r="AJ35" s="882">
        <v>5700.2</v>
      </c>
      <c r="AK35" s="700">
        <v>149016.20000000001</v>
      </c>
      <c r="AL35" s="700">
        <v>12807.5</v>
      </c>
      <c r="AM35" s="824">
        <f t="shared" si="35"/>
        <v>161823.70000000001</v>
      </c>
      <c r="AN35" s="433">
        <f t="shared" si="30"/>
        <v>5700.2</v>
      </c>
      <c r="AO35" s="433">
        <f t="shared" si="42"/>
        <v>163198.70000000001</v>
      </c>
      <c r="AP35" s="433">
        <f t="shared" si="42"/>
        <v>488157.5</v>
      </c>
      <c r="AQ35" s="433">
        <f t="shared" si="42"/>
        <v>651356.19999999995</v>
      </c>
      <c r="AR35" s="431" t="s">
        <v>1217</v>
      </c>
      <c r="AS35" s="852">
        <v>6345.6</v>
      </c>
      <c r="AT35" s="857">
        <v>5839.9</v>
      </c>
      <c r="AU35" s="857">
        <v>6681.8</v>
      </c>
      <c r="AV35" s="852">
        <f>40+3.3+0.9</f>
        <v>44.199999999999996</v>
      </c>
      <c r="AW35" s="852">
        <f>637679.5-7.74</f>
        <v>637671.76</v>
      </c>
      <c r="AX35" s="852">
        <v>8566.2999999999993</v>
      </c>
      <c r="AY35" s="433">
        <f t="shared" si="36"/>
        <v>646238.06000000006</v>
      </c>
      <c r="AZ35" s="433">
        <f t="shared" si="21"/>
        <v>38774.283600000002</v>
      </c>
      <c r="BA35" s="432">
        <f t="shared" si="40"/>
        <v>2678.8163999999961</v>
      </c>
      <c r="BB35" s="857">
        <v>41453.1</v>
      </c>
      <c r="BC35" s="852">
        <v>1610515.3</v>
      </c>
      <c r="BD35" s="432">
        <f t="shared" si="41"/>
        <v>121977.29999999999</v>
      </c>
      <c r="BE35" s="852">
        <f>0+88.2</f>
        <v>88.2</v>
      </c>
      <c r="BF35" s="852">
        <f>18826.9</f>
        <v>18826.900000000001</v>
      </c>
      <c r="BG35" s="852">
        <f>1046.1+389.4+1296.5</f>
        <v>2732</v>
      </c>
      <c r="BH35" s="852">
        <f>145551.1+2980.9</f>
        <v>148532</v>
      </c>
      <c r="BI35" s="433">
        <f t="shared" si="22"/>
        <v>170179.1</v>
      </c>
      <c r="BJ35" s="431" t="s">
        <v>1217</v>
      </c>
      <c r="BK35" s="432"/>
      <c r="BL35" s="483">
        <v>2.75</v>
      </c>
      <c r="BM35" s="483">
        <v>39.44</v>
      </c>
      <c r="BN35" s="483">
        <v>8.9</v>
      </c>
      <c r="BO35" s="483">
        <v>8.2200000000000006</v>
      </c>
      <c r="BP35" s="483">
        <v>11.61</v>
      </c>
      <c r="BQ35" s="483" t="s">
        <v>836</v>
      </c>
      <c r="BR35" s="483">
        <v>122801.16</v>
      </c>
      <c r="BS35" s="739">
        <v>2381581</v>
      </c>
      <c r="BT35" s="739">
        <v>8750</v>
      </c>
      <c r="BU35" s="739">
        <v>3533</v>
      </c>
      <c r="BV35" s="483">
        <f t="shared" si="23"/>
        <v>102.14600063204931</v>
      </c>
      <c r="BW35" s="483">
        <f t="shared" si="24"/>
        <v>72.876772571428575</v>
      </c>
      <c r="BX35" s="483">
        <f t="shared" si="25"/>
        <v>74.440708571428573</v>
      </c>
      <c r="BY35" s="483">
        <f t="shared" si="26"/>
        <v>7.5366517720653015</v>
      </c>
      <c r="BZ35" s="483">
        <v>5</v>
      </c>
      <c r="CA35" s="483">
        <v>8.11</v>
      </c>
      <c r="CB35" s="483">
        <v>13.25</v>
      </c>
      <c r="CC35" s="483">
        <f t="shared" si="27"/>
        <v>5.1400000000000006</v>
      </c>
      <c r="CD35" s="483" t="s">
        <v>836</v>
      </c>
      <c r="CE35" s="482" t="s">
        <v>836</v>
      </c>
      <c r="CF35" s="482" t="s">
        <v>836</v>
      </c>
    </row>
    <row r="36" spans="9:84" s="482" customFormat="1" ht="9.75" hidden="1" customHeight="1">
      <c r="I36" s="519" t="s">
        <v>1218</v>
      </c>
      <c r="J36" s="520"/>
      <c r="K36" s="845">
        <v>82597.899999999994</v>
      </c>
      <c r="L36" s="845">
        <v>768.9</v>
      </c>
      <c r="M36" s="845">
        <f t="shared" si="31"/>
        <v>83366.799999999988</v>
      </c>
      <c r="N36" s="845">
        <v>7060.4</v>
      </c>
      <c r="O36" s="845">
        <f t="shared" si="32"/>
        <v>76306.399999999994</v>
      </c>
      <c r="P36" s="820">
        <v>13189.8</v>
      </c>
      <c r="Q36" s="845">
        <v>39493.800000000003</v>
      </c>
      <c r="R36" s="845">
        <v>57132</v>
      </c>
      <c r="S36" s="820">
        <v>548336.4</v>
      </c>
      <c r="T36" s="521">
        <f t="shared" si="37"/>
        <v>605468.4</v>
      </c>
      <c r="U36" s="521">
        <f t="shared" si="38"/>
        <v>644962.20000000007</v>
      </c>
      <c r="V36" s="845">
        <v>386</v>
      </c>
      <c r="W36" s="521">
        <f t="shared" si="28"/>
        <v>133824.4</v>
      </c>
      <c r="X36" s="521">
        <f t="shared" si="29"/>
        <v>682160.8</v>
      </c>
      <c r="Y36" s="820" t="s">
        <v>836</v>
      </c>
      <c r="Z36" s="820" t="s">
        <v>836</v>
      </c>
      <c r="AA36" s="519" t="s">
        <v>1218</v>
      </c>
      <c r="AB36" s="521">
        <v>0</v>
      </c>
      <c r="AC36" s="845">
        <v>13883.7</v>
      </c>
      <c r="AD36" s="845">
        <v>460857.1</v>
      </c>
      <c r="AE36" s="521">
        <f t="shared" si="33"/>
        <v>474740.8</v>
      </c>
      <c r="AF36" s="521">
        <v>0</v>
      </c>
      <c r="AG36" s="820">
        <v>1201.2</v>
      </c>
      <c r="AH36" s="845">
        <v>17886.8</v>
      </c>
      <c r="AI36" s="521">
        <f t="shared" si="34"/>
        <v>19088</v>
      </c>
      <c r="AJ36" s="849">
        <v>5380.7</v>
      </c>
      <c r="AK36" s="732">
        <v>150622.1</v>
      </c>
      <c r="AL36" s="732">
        <v>11750.4</v>
      </c>
      <c r="AM36" s="851">
        <f t="shared" si="35"/>
        <v>162372.5</v>
      </c>
      <c r="AN36" s="521">
        <f t="shared" si="30"/>
        <v>5380.7</v>
      </c>
      <c r="AO36" s="521">
        <f t="shared" si="42"/>
        <v>165707</v>
      </c>
      <c r="AP36" s="521">
        <f t="shared" si="42"/>
        <v>490494.3</v>
      </c>
      <c r="AQ36" s="521">
        <f t="shared" si="42"/>
        <v>656201.30000000005</v>
      </c>
      <c r="AR36" s="519" t="s">
        <v>1218</v>
      </c>
      <c r="AS36" s="845">
        <v>5850.2</v>
      </c>
      <c r="AT36" s="820">
        <v>5557.7</v>
      </c>
      <c r="AU36" s="820">
        <v>7000.4</v>
      </c>
      <c r="AV36" s="845">
        <f>10+5.3+0.9</f>
        <v>16.2</v>
      </c>
      <c r="AW36" s="845">
        <f>644994.5-8.1</f>
        <v>644986.4</v>
      </c>
      <c r="AX36" s="845">
        <v>6636</v>
      </c>
      <c r="AY36" s="521">
        <f t="shared" si="36"/>
        <v>651622.40000000002</v>
      </c>
      <c r="AZ36" s="521">
        <f t="shared" si="21"/>
        <v>39097.343999999997</v>
      </c>
      <c r="BA36" s="520">
        <f t="shared" si="40"/>
        <v>1002.4560000000056</v>
      </c>
      <c r="BB36" s="820">
        <v>40099.800000000003</v>
      </c>
      <c r="BC36" s="845">
        <v>1644807.7</v>
      </c>
      <c r="BD36" s="520">
        <f t="shared" si="41"/>
        <v>123466.59999999999</v>
      </c>
      <c r="BE36" s="845">
        <v>91.8</v>
      </c>
      <c r="BF36" s="845">
        <v>19085.3</v>
      </c>
      <c r="BG36" s="845">
        <f>1123.7+521.8+1285.5</f>
        <v>2931</v>
      </c>
      <c r="BH36" s="845">
        <f>147103.1+3017.2</f>
        <v>150120.30000000002</v>
      </c>
      <c r="BI36" s="521">
        <f t="shared" si="22"/>
        <v>172228.40000000002</v>
      </c>
      <c r="BJ36" s="519" t="s">
        <v>1218</v>
      </c>
      <c r="BK36" s="520"/>
      <c r="BL36" s="531">
        <v>1.66</v>
      </c>
      <c r="BM36" s="531">
        <v>47.08</v>
      </c>
      <c r="BN36" s="531">
        <v>9.41</v>
      </c>
      <c r="BO36" s="531">
        <v>8.5399999999999991</v>
      </c>
      <c r="BP36" s="531">
        <v>13.03</v>
      </c>
      <c r="BQ36" s="531" t="s">
        <v>836</v>
      </c>
      <c r="BR36" s="531">
        <v>113955.82</v>
      </c>
      <c r="BS36" s="532">
        <v>2212536</v>
      </c>
      <c r="BT36" s="532">
        <v>8765</v>
      </c>
      <c r="BU36" s="532">
        <v>3534</v>
      </c>
      <c r="BV36" s="531">
        <f t="shared" si="23"/>
        <v>101.73878084871247</v>
      </c>
      <c r="BW36" s="531">
        <f t="shared" si="24"/>
        <v>73.586583000570457</v>
      </c>
      <c r="BX36" s="531">
        <f t="shared" si="25"/>
        <v>74.866092413006285</v>
      </c>
      <c r="BY36" s="531">
        <f t="shared" si="26"/>
        <v>7.3118130862914326</v>
      </c>
      <c r="BZ36" s="531">
        <v>5</v>
      </c>
      <c r="CA36" s="531">
        <v>8.01</v>
      </c>
      <c r="CB36" s="531">
        <v>13.23</v>
      </c>
      <c r="CC36" s="531">
        <f t="shared" si="27"/>
        <v>5.2200000000000006</v>
      </c>
      <c r="CD36" s="531" t="s">
        <v>836</v>
      </c>
      <c r="CE36" s="530" t="s">
        <v>836</v>
      </c>
      <c r="CF36" s="530" t="s">
        <v>836</v>
      </c>
    </row>
    <row r="37" spans="9:84" s="482" customFormat="1" ht="9.75" hidden="1" customHeight="1">
      <c r="I37" s="431" t="s">
        <v>1209</v>
      </c>
      <c r="J37" s="432"/>
      <c r="K37" s="852">
        <v>84714.1</v>
      </c>
      <c r="L37" s="852">
        <v>771.1</v>
      </c>
      <c r="M37" s="852">
        <f t="shared" si="31"/>
        <v>85485.200000000012</v>
      </c>
      <c r="N37" s="852">
        <v>8576.7999999999993</v>
      </c>
      <c r="O37" s="852">
        <f t="shared" si="32"/>
        <v>76908.400000000009</v>
      </c>
      <c r="P37" s="857">
        <v>14653.7</v>
      </c>
      <c r="Q37" s="852">
        <v>39217.699999999997</v>
      </c>
      <c r="R37" s="852">
        <v>64344.3</v>
      </c>
      <c r="S37" s="857">
        <v>558978.4</v>
      </c>
      <c r="T37" s="433">
        <f t="shared" si="37"/>
        <v>623322.70000000007</v>
      </c>
      <c r="U37" s="433">
        <f t="shared" si="38"/>
        <v>662540.4</v>
      </c>
      <c r="V37" s="852">
        <v>392.4</v>
      </c>
      <c r="W37" s="433">
        <f t="shared" si="28"/>
        <v>141645.1</v>
      </c>
      <c r="X37" s="433">
        <f t="shared" si="29"/>
        <v>700623.5</v>
      </c>
      <c r="Y37" s="857" t="s">
        <v>836</v>
      </c>
      <c r="Z37" s="857" t="s">
        <v>836</v>
      </c>
      <c r="AA37" s="431" t="s">
        <v>1209</v>
      </c>
      <c r="AB37" s="433">
        <v>0</v>
      </c>
      <c r="AC37" s="852">
        <v>12682.9</v>
      </c>
      <c r="AD37" s="852">
        <v>472716.79999999999</v>
      </c>
      <c r="AE37" s="433">
        <f t="shared" si="33"/>
        <v>485399.7</v>
      </c>
      <c r="AF37" s="433">
        <v>0</v>
      </c>
      <c r="AG37" s="857">
        <v>1119.4000000000001</v>
      </c>
      <c r="AH37" s="852">
        <v>18229.8</v>
      </c>
      <c r="AI37" s="433">
        <f t="shared" si="34"/>
        <v>19349.2</v>
      </c>
      <c r="AJ37" s="882">
        <v>7694</v>
      </c>
      <c r="AK37" s="700">
        <v>152996.79999999999</v>
      </c>
      <c r="AL37" s="700">
        <v>12420.6</v>
      </c>
      <c r="AM37" s="824">
        <f t="shared" si="35"/>
        <v>165417.4</v>
      </c>
      <c r="AN37" s="433">
        <f t="shared" si="30"/>
        <v>7694</v>
      </c>
      <c r="AO37" s="433">
        <f t="shared" si="42"/>
        <v>166799.09999999998</v>
      </c>
      <c r="AP37" s="433">
        <f t="shared" si="42"/>
        <v>503367.19999999995</v>
      </c>
      <c r="AQ37" s="433">
        <f t="shared" si="42"/>
        <v>670166.30000000005</v>
      </c>
      <c r="AR37" s="431" t="s">
        <v>1209</v>
      </c>
      <c r="AS37" s="852">
        <v>5706.9</v>
      </c>
      <c r="AT37" s="857">
        <v>5526.6</v>
      </c>
      <c r="AU37" s="857">
        <v>9945.7000000000007</v>
      </c>
      <c r="AV37" s="852">
        <f>20+5.3+0.9</f>
        <v>26.2</v>
      </c>
      <c r="AW37" s="852">
        <f>662568.3-9</f>
        <v>662559.30000000005</v>
      </c>
      <c r="AX37" s="852">
        <v>6612.1</v>
      </c>
      <c r="AY37" s="433">
        <f t="shared" si="36"/>
        <v>669171.4</v>
      </c>
      <c r="AZ37" s="433">
        <f>AY37*0.065</f>
        <v>43496.141000000003</v>
      </c>
      <c r="BA37" s="432">
        <f t="shared" si="40"/>
        <v>501.55899999999383</v>
      </c>
      <c r="BB37" s="857">
        <v>43997.7</v>
      </c>
      <c r="BC37" s="852">
        <v>1689948.5</v>
      </c>
      <c r="BD37" s="432">
        <f t="shared" si="41"/>
        <v>129482.90000000001</v>
      </c>
      <c r="BE37" s="852">
        <v>78.099999999999994</v>
      </c>
      <c r="BF37" s="852">
        <v>16886.2</v>
      </c>
      <c r="BG37" s="852">
        <f>1058+617+1094.5</f>
        <v>2769.5</v>
      </c>
      <c r="BH37" s="852">
        <f>149325.2+3170.2</f>
        <v>152495.40000000002</v>
      </c>
      <c r="BI37" s="433">
        <f t="shared" si="22"/>
        <v>172229.2</v>
      </c>
      <c r="BJ37" s="431" t="s">
        <v>1209</v>
      </c>
      <c r="BK37" s="432"/>
      <c r="BL37" s="483">
        <v>6.72</v>
      </c>
      <c r="BM37" s="483">
        <v>34.71</v>
      </c>
      <c r="BN37" s="483">
        <v>12.27</v>
      </c>
      <c r="BO37" s="483">
        <v>11.57</v>
      </c>
      <c r="BP37" s="483">
        <v>15.46</v>
      </c>
      <c r="BQ37" s="483" t="s">
        <v>836</v>
      </c>
      <c r="BR37" s="483">
        <v>145959.32999999999</v>
      </c>
      <c r="BS37" s="739">
        <v>2289232</v>
      </c>
      <c r="BT37" s="739">
        <v>8794</v>
      </c>
      <c r="BU37" s="739">
        <v>3536</v>
      </c>
      <c r="BV37" s="483">
        <f t="shared" si="23"/>
        <v>101.14812364719657</v>
      </c>
      <c r="BW37" s="483">
        <f t="shared" si="24"/>
        <v>75.342199226745507</v>
      </c>
      <c r="BX37" s="483">
        <f t="shared" si="25"/>
        <v>76.20722083238573</v>
      </c>
      <c r="BY37" s="483">
        <f t="shared" si="26"/>
        <v>7.9350633218792641</v>
      </c>
      <c r="BZ37" s="483">
        <v>5</v>
      </c>
      <c r="CA37" s="483">
        <v>7.79</v>
      </c>
      <c r="CB37" s="483">
        <v>13.1</v>
      </c>
      <c r="CC37" s="483">
        <f t="shared" si="27"/>
        <v>5.31</v>
      </c>
      <c r="CD37" s="483">
        <v>12.52</v>
      </c>
      <c r="CE37" s="483">
        <v>16.899999999999999</v>
      </c>
      <c r="CF37" s="482">
        <v>4.38</v>
      </c>
    </row>
    <row r="38" spans="9:84" s="482" customFormat="1" ht="9.75" customHeight="1">
      <c r="I38" s="639" t="s">
        <v>2376</v>
      </c>
      <c r="J38" s="520"/>
      <c r="K38" s="1068">
        <f>K50</f>
        <v>97361.5</v>
      </c>
      <c r="L38" s="1068">
        <f t="shared" ref="L38:X38" si="43">L50</f>
        <v>792.4</v>
      </c>
      <c r="M38" s="1068">
        <f t="shared" si="43"/>
        <v>98153.9</v>
      </c>
      <c r="N38" s="1068">
        <f t="shared" si="43"/>
        <v>10213.1</v>
      </c>
      <c r="O38" s="1068">
        <f t="shared" si="43"/>
        <v>87940.799999999988</v>
      </c>
      <c r="P38" s="1068">
        <f t="shared" si="43"/>
        <v>13317.8</v>
      </c>
      <c r="Q38" s="1068">
        <f t="shared" si="43"/>
        <v>47116.6</v>
      </c>
      <c r="R38" s="1068">
        <f t="shared" si="43"/>
        <v>72383.7</v>
      </c>
      <c r="S38" s="1068">
        <f t="shared" si="43"/>
        <v>626799.9</v>
      </c>
      <c r="T38" s="1068">
        <f t="shared" si="43"/>
        <v>699183.6</v>
      </c>
      <c r="U38" s="1068">
        <f t="shared" si="43"/>
        <v>746300.2</v>
      </c>
      <c r="V38" s="1068">
        <f t="shared" si="43"/>
        <v>489.7</v>
      </c>
      <c r="W38" s="1068">
        <f t="shared" si="43"/>
        <v>160814.20000000001</v>
      </c>
      <c r="X38" s="1068">
        <f t="shared" si="43"/>
        <v>787614.10000000009</v>
      </c>
      <c r="Y38" s="1256" t="s">
        <v>836</v>
      </c>
      <c r="Z38" s="1256" t="s">
        <v>836</v>
      </c>
      <c r="AA38" s="639" t="s">
        <v>2376</v>
      </c>
      <c r="AB38" s="640">
        <f>AB50</f>
        <v>0</v>
      </c>
      <c r="AC38" s="640">
        <f t="shared" ref="AC38:AQ38" si="44">AC50</f>
        <v>15343.1</v>
      </c>
      <c r="AD38" s="640">
        <f t="shared" si="44"/>
        <v>537605.1</v>
      </c>
      <c r="AE38" s="640">
        <f t="shared" si="44"/>
        <v>552948.19999999995</v>
      </c>
      <c r="AF38" s="640">
        <f t="shared" si="44"/>
        <v>0</v>
      </c>
      <c r="AG38" s="640">
        <f t="shared" si="44"/>
        <v>1250.4000000000001</v>
      </c>
      <c r="AH38" s="640">
        <f t="shared" si="44"/>
        <v>18779.3</v>
      </c>
      <c r="AI38" s="640">
        <f t="shared" si="44"/>
        <v>20029.7</v>
      </c>
      <c r="AJ38" s="640">
        <f t="shared" si="44"/>
        <v>7130.6</v>
      </c>
      <c r="AK38" s="640">
        <f t="shared" si="44"/>
        <v>157018.4</v>
      </c>
      <c r="AL38" s="640">
        <f t="shared" si="44"/>
        <v>13569.3</v>
      </c>
      <c r="AM38" s="640">
        <f t="shared" si="44"/>
        <v>170587.69999999998</v>
      </c>
      <c r="AN38" s="640">
        <f t="shared" si="44"/>
        <v>7130.6</v>
      </c>
      <c r="AO38" s="640">
        <f t="shared" si="44"/>
        <v>173611.9</v>
      </c>
      <c r="AP38" s="640">
        <f t="shared" si="44"/>
        <v>569953.70000000007</v>
      </c>
      <c r="AQ38" s="640">
        <f t="shared" si="44"/>
        <v>743565.59999999986</v>
      </c>
      <c r="AR38" s="639" t="s">
        <v>2376</v>
      </c>
      <c r="AS38" s="1068">
        <f>AS50</f>
        <v>5604.1</v>
      </c>
      <c r="AT38" s="1068">
        <f t="shared" ref="AT38:BI38" si="45">AT50</f>
        <v>4823.6000000000004</v>
      </c>
      <c r="AU38" s="1068">
        <f t="shared" si="45"/>
        <v>7890.2</v>
      </c>
      <c r="AV38" s="1068">
        <f t="shared" si="45"/>
        <v>217.9</v>
      </c>
      <c r="AW38" s="1068">
        <f t="shared" si="45"/>
        <v>746329.9</v>
      </c>
      <c r="AX38" s="1068">
        <f t="shared" si="45"/>
        <v>6653.4</v>
      </c>
      <c r="AY38" s="1068">
        <f t="shared" si="45"/>
        <v>752983.3</v>
      </c>
      <c r="AZ38" s="1068">
        <f t="shared" si="45"/>
        <v>48943.914500000006</v>
      </c>
      <c r="BA38" s="1068">
        <f t="shared" si="45"/>
        <v>894.98549999999523</v>
      </c>
      <c r="BB38" s="1068">
        <f t="shared" si="45"/>
        <v>49838.9</v>
      </c>
      <c r="BC38" s="1068">
        <f t="shared" si="45"/>
        <v>1962638.4</v>
      </c>
      <c r="BD38" s="1068">
        <f t="shared" si="45"/>
        <v>147992.79999999999</v>
      </c>
      <c r="BE38" s="1068">
        <f t="shared" si="45"/>
        <v>2435.4</v>
      </c>
      <c r="BF38" s="1068">
        <f t="shared" si="45"/>
        <v>8796.4</v>
      </c>
      <c r="BG38" s="1068">
        <f t="shared" si="45"/>
        <v>3334.2</v>
      </c>
      <c r="BH38" s="1068">
        <f t="shared" si="45"/>
        <v>155768.70000000001</v>
      </c>
      <c r="BI38" s="1068">
        <f t="shared" si="45"/>
        <v>170334.7</v>
      </c>
      <c r="BJ38" s="639" t="s">
        <v>2376</v>
      </c>
      <c r="BK38" s="520"/>
      <c r="BL38" s="641">
        <f>BL50</f>
        <v>-6.19</v>
      </c>
      <c r="BM38" s="641">
        <f>BM50</f>
        <v>34.71</v>
      </c>
      <c r="BN38" s="641">
        <f>BN50</f>
        <v>12.27</v>
      </c>
      <c r="BO38" s="641">
        <f>BO50</f>
        <v>11.57</v>
      </c>
      <c r="BP38" s="641">
        <f>BP50</f>
        <v>16.09</v>
      </c>
      <c r="BQ38" s="542" t="s">
        <v>2609</v>
      </c>
      <c r="BR38" s="641" t="s">
        <v>836</v>
      </c>
      <c r="BS38" s="904" t="s">
        <v>836</v>
      </c>
      <c r="BT38" s="904">
        <f>BT50</f>
        <v>9131</v>
      </c>
      <c r="BU38" s="904">
        <f>BU50</f>
        <v>3669</v>
      </c>
      <c r="BV38" s="641">
        <f>BV50</f>
        <v>99.629614196081363</v>
      </c>
      <c r="BW38" s="641">
        <f t="shared" ref="BW38:CF38" si="46">BW50</f>
        <v>81.735833972182675</v>
      </c>
      <c r="BX38" s="641">
        <f t="shared" si="46"/>
        <v>81.43309604643521</v>
      </c>
      <c r="BY38" s="641">
        <f t="shared" si="46"/>
        <v>8.0463076717146134</v>
      </c>
      <c r="BZ38" s="641">
        <f t="shared" si="46"/>
        <v>5</v>
      </c>
      <c r="CA38" s="641">
        <f t="shared" si="46"/>
        <v>6.8</v>
      </c>
      <c r="CB38" s="641">
        <f t="shared" si="46"/>
        <v>11.67</v>
      </c>
      <c r="CC38" s="641">
        <f t="shared" si="46"/>
        <v>4.87</v>
      </c>
      <c r="CD38" s="641">
        <f t="shared" si="46"/>
        <v>10.61</v>
      </c>
      <c r="CE38" s="641">
        <f t="shared" si="46"/>
        <v>15.12</v>
      </c>
      <c r="CF38" s="641">
        <f t="shared" si="46"/>
        <v>4.51</v>
      </c>
    </row>
    <row r="39" spans="9:84" s="482" customFormat="1" ht="9.75" customHeight="1">
      <c r="I39" s="431" t="s">
        <v>1211</v>
      </c>
      <c r="J39" s="432"/>
      <c r="K39" s="852">
        <v>98858.9</v>
      </c>
      <c r="L39" s="852">
        <v>790.3</v>
      </c>
      <c r="M39" s="852">
        <f t="shared" si="31"/>
        <v>99649.2</v>
      </c>
      <c r="N39" s="852">
        <v>9761.5</v>
      </c>
      <c r="O39" s="852">
        <f t="shared" si="32"/>
        <v>89887.7</v>
      </c>
      <c r="P39" s="857">
        <v>15001.9</v>
      </c>
      <c r="Q39" s="852">
        <v>38532.6</v>
      </c>
      <c r="R39" s="852">
        <v>60846.1</v>
      </c>
      <c r="S39" s="857">
        <v>563642.1</v>
      </c>
      <c r="T39" s="433">
        <f t="shared" si="37"/>
        <v>624488.19999999995</v>
      </c>
      <c r="U39" s="433">
        <f t="shared" si="38"/>
        <v>663020.79999999993</v>
      </c>
      <c r="V39" s="852">
        <v>408.8</v>
      </c>
      <c r="W39" s="433">
        <f t="shared" si="28"/>
        <v>151142.59999999998</v>
      </c>
      <c r="X39" s="433">
        <f t="shared" si="29"/>
        <v>714784.7</v>
      </c>
      <c r="Y39" s="857" t="s">
        <v>836</v>
      </c>
      <c r="Z39" s="857" t="s">
        <v>836</v>
      </c>
      <c r="AA39" s="431" t="s">
        <v>1211</v>
      </c>
      <c r="AB39" s="433">
        <v>0</v>
      </c>
      <c r="AC39" s="852">
        <v>13166.1</v>
      </c>
      <c r="AD39" s="852">
        <v>473301.3</v>
      </c>
      <c r="AE39" s="433">
        <f t="shared" si="33"/>
        <v>486467.39999999997</v>
      </c>
      <c r="AF39" s="433">
        <v>0</v>
      </c>
      <c r="AG39" s="857">
        <v>1254.7</v>
      </c>
      <c r="AH39" s="852">
        <v>17900.400000000001</v>
      </c>
      <c r="AI39" s="433">
        <f t="shared" si="34"/>
        <v>19155.100000000002</v>
      </c>
      <c r="AJ39" s="882">
        <v>5957.3</v>
      </c>
      <c r="AK39" s="882">
        <v>154187</v>
      </c>
      <c r="AL39" s="700">
        <v>12211.4</v>
      </c>
      <c r="AM39" s="824">
        <f t="shared" si="35"/>
        <v>166398.39999999999</v>
      </c>
      <c r="AN39" s="433">
        <f t="shared" ref="AN39:AQ50" si="47">AB39+AF39+AJ39</f>
        <v>5957.3</v>
      </c>
      <c r="AO39" s="433">
        <f t="shared" si="47"/>
        <v>168607.8</v>
      </c>
      <c r="AP39" s="433">
        <f t="shared" si="47"/>
        <v>503413.10000000003</v>
      </c>
      <c r="AQ39" s="433">
        <f t="shared" si="47"/>
        <v>672020.89999999991</v>
      </c>
      <c r="AR39" s="431" t="s">
        <v>1211</v>
      </c>
      <c r="AS39" s="852">
        <v>6203.7</v>
      </c>
      <c r="AT39" s="857">
        <v>8389.2999999999993</v>
      </c>
      <c r="AU39" s="857">
        <v>7876.7</v>
      </c>
      <c r="AV39" s="852">
        <f>20+5.3+0.9</f>
        <v>26.2</v>
      </c>
      <c r="AW39" s="852">
        <f>663048.4-9.3</f>
        <v>663039.1</v>
      </c>
      <c r="AX39" s="852">
        <v>8014</v>
      </c>
      <c r="AY39" s="433">
        <f t="shared" si="36"/>
        <v>671053.1</v>
      </c>
      <c r="AZ39" s="433">
        <f t="shared" ref="AZ39:AZ50" si="48">AY39*0.065</f>
        <v>43618.451500000003</v>
      </c>
      <c r="BA39" s="432">
        <f t="shared" si="40"/>
        <v>1842.9484999999986</v>
      </c>
      <c r="BB39" s="857">
        <v>45461.4</v>
      </c>
      <c r="BC39" s="852">
        <v>1739256.5</v>
      </c>
      <c r="BD39" s="432">
        <f t="shared" si="41"/>
        <v>145110.6</v>
      </c>
      <c r="BE39" s="852">
        <f>2359.7+52.3</f>
        <v>2412</v>
      </c>
      <c r="BF39" s="852">
        <v>16992.5</v>
      </c>
      <c r="BG39" s="852">
        <f>1190.2+921+724.5</f>
        <v>2835.7</v>
      </c>
      <c r="BH39" s="852">
        <f>150378.1+3317.2</f>
        <v>153695.30000000002</v>
      </c>
      <c r="BI39" s="433">
        <f t="shared" si="22"/>
        <v>175935.50000000003</v>
      </c>
      <c r="BJ39" s="431" t="s">
        <v>1211</v>
      </c>
      <c r="BK39" s="432"/>
      <c r="BL39" s="483">
        <v>6.12</v>
      </c>
      <c r="BM39" s="483">
        <v>4.1399999999999997</v>
      </c>
      <c r="BN39" s="483">
        <v>0.04</v>
      </c>
      <c r="BO39" s="483">
        <v>1.24</v>
      </c>
      <c r="BP39" s="483">
        <v>2.02</v>
      </c>
      <c r="BQ39" s="483" t="s">
        <v>836</v>
      </c>
      <c r="BR39" s="483" t="s">
        <v>836</v>
      </c>
      <c r="BS39" s="739" t="s">
        <v>836</v>
      </c>
      <c r="BT39" s="739">
        <v>8805</v>
      </c>
      <c r="BU39" s="739">
        <v>3539</v>
      </c>
      <c r="BV39" s="483">
        <f t="shared" si="23"/>
        <v>101.35464107622008</v>
      </c>
      <c r="BW39" s="483">
        <f t="shared" si="24"/>
        <v>75.302566723452586</v>
      </c>
      <c r="BX39" s="483">
        <f t="shared" si="25"/>
        <v>76.322646223736498</v>
      </c>
      <c r="BY39" s="483">
        <f t="shared" si="26"/>
        <v>8.3287546692193573</v>
      </c>
      <c r="BZ39" s="483">
        <v>5</v>
      </c>
      <c r="CA39" s="483">
        <v>7.71</v>
      </c>
      <c r="CB39" s="483">
        <v>12.84</v>
      </c>
      <c r="CC39" s="483">
        <v>5.13</v>
      </c>
      <c r="CD39" s="483" t="s">
        <v>836</v>
      </c>
      <c r="CE39" s="483" t="s">
        <v>836</v>
      </c>
      <c r="CF39" s="482" t="s">
        <v>836</v>
      </c>
    </row>
    <row r="40" spans="9:84" s="482" customFormat="1" ht="9.75" customHeight="1">
      <c r="I40" s="519" t="s">
        <v>1212</v>
      </c>
      <c r="J40" s="520"/>
      <c r="K40" s="845">
        <v>87721.7</v>
      </c>
      <c r="L40" s="845">
        <v>790.9</v>
      </c>
      <c r="M40" s="845">
        <f t="shared" si="31"/>
        <v>88512.599999999991</v>
      </c>
      <c r="N40" s="845">
        <v>8868.7999999999993</v>
      </c>
      <c r="O40" s="845">
        <f t="shared" si="32"/>
        <v>79643.799999999988</v>
      </c>
      <c r="P40" s="820">
        <v>14770.9</v>
      </c>
      <c r="Q40" s="845">
        <v>38667.300000000003</v>
      </c>
      <c r="R40" s="845">
        <v>60505.4</v>
      </c>
      <c r="S40" s="820">
        <v>572527.69999999995</v>
      </c>
      <c r="T40" s="521">
        <f t="shared" si="37"/>
        <v>633033.1</v>
      </c>
      <c r="U40" s="521">
        <f t="shared" si="38"/>
        <v>671700.4</v>
      </c>
      <c r="V40" s="845">
        <v>408.8</v>
      </c>
      <c r="W40" s="521">
        <f t="shared" si="28"/>
        <v>140557.99999999997</v>
      </c>
      <c r="X40" s="521">
        <f t="shared" si="29"/>
        <v>713085.7</v>
      </c>
      <c r="Y40" s="820" t="s">
        <v>836</v>
      </c>
      <c r="Z40" s="820" t="s">
        <v>836</v>
      </c>
      <c r="AA40" s="519" t="s">
        <v>1212</v>
      </c>
      <c r="AB40" s="521">
        <v>0</v>
      </c>
      <c r="AC40" s="845">
        <v>14135</v>
      </c>
      <c r="AD40" s="845">
        <v>479405.1</v>
      </c>
      <c r="AE40" s="521">
        <f t="shared" si="33"/>
        <v>493540.1</v>
      </c>
      <c r="AF40" s="521">
        <v>0</v>
      </c>
      <c r="AG40" s="820">
        <v>1245.4000000000001</v>
      </c>
      <c r="AH40" s="845">
        <v>16893.900000000001</v>
      </c>
      <c r="AI40" s="521">
        <f t="shared" si="34"/>
        <v>18139.300000000003</v>
      </c>
      <c r="AJ40" s="849">
        <v>6117.4</v>
      </c>
      <c r="AK40" s="849">
        <v>157944.5</v>
      </c>
      <c r="AL40" s="732">
        <v>12351.6</v>
      </c>
      <c r="AM40" s="851">
        <f t="shared" si="35"/>
        <v>170296.1</v>
      </c>
      <c r="AN40" s="521">
        <f t="shared" si="47"/>
        <v>6117.4</v>
      </c>
      <c r="AO40" s="521">
        <f t="shared" si="47"/>
        <v>173324.9</v>
      </c>
      <c r="AP40" s="521">
        <f t="shared" si="47"/>
        <v>508650.6</v>
      </c>
      <c r="AQ40" s="521">
        <f t="shared" si="47"/>
        <v>681975.5</v>
      </c>
      <c r="AR40" s="519" t="s">
        <v>1212</v>
      </c>
      <c r="AS40" s="845">
        <v>5461.9</v>
      </c>
      <c r="AT40" s="845">
        <v>5991</v>
      </c>
      <c r="AU40" s="820">
        <v>7643.9</v>
      </c>
      <c r="AV40" s="845">
        <f>20+5.3+1.4</f>
        <v>26.7</v>
      </c>
      <c r="AW40" s="845">
        <f>671727.5-8.9</f>
        <v>671718.6</v>
      </c>
      <c r="AX40" s="845">
        <v>6364.5</v>
      </c>
      <c r="AY40" s="521">
        <f t="shared" si="36"/>
        <v>678083.1</v>
      </c>
      <c r="AZ40" s="521">
        <f t="shared" si="48"/>
        <v>44075.4015</v>
      </c>
      <c r="BA40" s="520">
        <f t="shared" si="40"/>
        <v>3839.7984999999971</v>
      </c>
      <c r="BB40" s="820">
        <v>47915.199999999997</v>
      </c>
      <c r="BC40" s="845">
        <v>1765175.5</v>
      </c>
      <c r="BD40" s="520">
        <f t="shared" si="41"/>
        <v>136427.79999999999</v>
      </c>
      <c r="BE40" s="845">
        <v>53.2</v>
      </c>
      <c r="BF40" s="845">
        <v>15727.5</v>
      </c>
      <c r="BG40" s="845">
        <f>1169.6+555.7+639.4</f>
        <v>2364.6999999999998</v>
      </c>
      <c r="BH40" s="845">
        <f>153829.8+3620.5</f>
        <v>157450.29999999999</v>
      </c>
      <c r="BI40" s="521">
        <f t="shared" si="22"/>
        <v>175595.69999999998</v>
      </c>
      <c r="BJ40" s="519" t="s">
        <v>1212</v>
      </c>
      <c r="BK40" s="520"/>
      <c r="BL40" s="531">
        <v>1.67</v>
      </c>
      <c r="BM40" s="531">
        <v>15.02</v>
      </c>
      <c r="BN40" s="531">
        <v>1.07</v>
      </c>
      <c r="BO40" s="531">
        <v>1.46</v>
      </c>
      <c r="BP40" s="531">
        <v>1.78</v>
      </c>
      <c r="BQ40" s="531" t="s">
        <v>836</v>
      </c>
      <c r="BR40" s="531" t="s">
        <v>836</v>
      </c>
      <c r="BS40" s="532" t="s">
        <v>836</v>
      </c>
      <c r="BT40" s="532">
        <v>8821</v>
      </c>
      <c r="BU40" s="532">
        <v>3539</v>
      </c>
      <c r="BV40" s="531">
        <f t="shared" si="23"/>
        <v>101.52696382086191</v>
      </c>
      <c r="BW40" s="531">
        <f t="shared" si="24"/>
        <v>76.149937648792658</v>
      </c>
      <c r="BX40" s="531">
        <f t="shared" si="25"/>
        <v>77.312719646298603</v>
      </c>
      <c r="BY40" s="531">
        <f t="shared" si="26"/>
        <v>8.4535399198414343</v>
      </c>
      <c r="BZ40" s="531">
        <v>5</v>
      </c>
      <c r="CA40" s="531">
        <v>7.63</v>
      </c>
      <c r="CB40" s="531">
        <v>12.75</v>
      </c>
      <c r="CC40" s="531">
        <v>5.12</v>
      </c>
      <c r="CD40" s="531" t="s">
        <v>836</v>
      </c>
      <c r="CE40" s="531" t="s">
        <v>836</v>
      </c>
      <c r="CF40" s="530" t="s">
        <v>836</v>
      </c>
    </row>
    <row r="41" spans="9:84" s="482" customFormat="1" ht="9.75" customHeight="1">
      <c r="I41" s="431" t="s">
        <v>1206</v>
      </c>
      <c r="J41" s="432"/>
      <c r="K41" s="852">
        <v>96280.6</v>
      </c>
      <c r="L41" s="852">
        <v>793.6</v>
      </c>
      <c r="M41" s="852">
        <f t="shared" si="31"/>
        <v>97074.200000000012</v>
      </c>
      <c r="N41" s="852">
        <v>9775.4</v>
      </c>
      <c r="O41" s="852">
        <f t="shared" si="32"/>
        <v>87298.800000000017</v>
      </c>
      <c r="P41" s="857">
        <v>15119.6</v>
      </c>
      <c r="Q41" s="852">
        <v>38725.800000000003</v>
      </c>
      <c r="R41" s="852">
        <v>62024.9</v>
      </c>
      <c r="S41" s="857">
        <v>575239.5</v>
      </c>
      <c r="T41" s="433">
        <f t="shared" si="37"/>
        <v>637264.4</v>
      </c>
      <c r="U41" s="433">
        <f t="shared" si="38"/>
        <v>675990.20000000007</v>
      </c>
      <c r="V41" s="852">
        <v>440.2</v>
      </c>
      <c r="W41" s="433">
        <f t="shared" si="28"/>
        <v>149763.90000000002</v>
      </c>
      <c r="X41" s="433">
        <f t="shared" si="29"/>
        <v>725003.4</v>
      </c>
      <c r="Y41" s="857" t="s">
        <v>836</v>
      </c>
      <c r="Z41" s="857" t="s">
        <v>836</v>
      </c>
      <c r="AA41" s="431" t="s">
        <v>1206</v>
      </c>
      <c r="AB41" s="433">
        <v>0</v>
      </c>
      <c r="AC41" s="852">
        <v>14149.6</v>
      </c>
      <c r="AD41" s="852">
        <v>488031.7</v>
      </c>
      <c r="AE41" s="433">
        <f t="shared" si="33"/>
        <v>502181.3</v>
      </c>
      <c r="AF41" s="433">
        <v>0</v>
      </c>
      <c r="AG41" s="852">
        <v>1316</v>
      </c>
      <c r="AH41" s="852">
        <v>17211.2</v>
      </c>
      <c r="AI41" s="433">
        <f t="shared" si="34"/>
        <v>18527.2</v>
      </c>
      <c r="AJ41" s="882">
        <v>6239.9</v>
      </c>
      <c r="AK41" s="882">
        <v>163059.6</v>
      </c>
      <c r="AL41" s="700">
        <v>12642.9</v>
      </c>
      <c r="AM41" s="824">
        <f t="shared" si="35"/>
        <v>175702.5</v>
      </c>
      <c r="AN41" s="433">
        <f t="shared" si="47"/>
        <v>6239.9</v>
      </c>
      <c r="AO41" s="433">
        <f t="shared" si="47"/>
        <v>178525.2</v>
      </c>
      <c r="AP41" s="433">
        <f t="shared" si="47"/>
        <v>517885.80000000005</v>
      </c>
      <c r="AQ41" s="433">
        <f t="shared" si="47"/>
        <v>696411</v>
      </c>
      <c r="AR41" s="431" t="s">
        <v>1206</v>
      </c>
      <c r="AS41" s="852">
        <v>5489.4</v>
      </c>
      <c r="AT41" s="852">
        <v>12093.2</v>
      </c>
      <c r="AU41" s="857">
        <v>8870.6</v>
      </c>
      <c r="AV41" s="852">
        <f>20+129.3+1.4</f>
        <v>150.70000000000002</v>
      </c>
      <c r="AW41" s="852">
        <f>676017-8.95</f>
        <v>676008.05</v>
      </c>
      <c r="AX41" s="852">
        <v>6034.1</v>
      </c>
      <c r="AY41" s="433">
        <f t="shared" si="36"/>
        <v>682042.15</v>
      </c>
      <c r="AZ41" s="433">
        <f t="shared" si="48"/>
        <v>44332.739750000001</v>
      </c>
      <c r="BA41" s="432">
        <f t="shared" si="40"/>
        <v>1785.3602499999979</v>
      </c>
      <c r="BB41" s="857">
        <v>46118.1</v>
      </c>
      <c r="BC41" s="852">
        <v>1804784.2</v>
      </c>
      <c r="BD41" s="432">
        <f t="shared" si="41"/>
        <v>143192.30000000002</v>
      </c>
      <c r="BE41" s="852">
        <f>86.8+10.4</f>
        <v>97.2</v>
      </c>
      <c r="BF41" s="852">
        <v>9110.7999999999993</v>
      </c>
      <c r="BG41" s="852">
        <f>1237.9+461.8+772.3</f>
        <v>2472</v>
      </c>
      <c r="BH41" s="852">
        <f>158756.2+3812.8</f>
        <v>162569</v>
      </c>
      <c r="BI41" s="433">
        <f t="shared" si="22"/>
        <v>174249</v>
      </c>
      <c r="BJ41" s="431" t="s">
        <v>1206</v>
      </c>
      <c r="BK41" s="432"/>
      <c r="BL41" s="483">
        <v>3.16</v>
      </c>
      <c r="BM41" s="483">
        <v>14.45</v>
      </c>
      <c r="BN41" s="483">
        <v>2.91</v>
      </c>
      <c r="BO41" s="483">
        <v>3.18</v>
      </c>
      <c r="BP41" s="483">
        <v>3.48</v>
      </c>
      <c r="BQ41" s="483" t="s">
        <v>836</v>
      </c>
      <c r="BR41" s="483" t="s">
        <v>836</v>
      </c>
      <c r="BS41" s="739" t="s">
        <v>836</v>
      </c>
      <c r="BT41" s="739">
        <v>8849</v>
      </c>
      <c r="BU41" s="739">
        <v>3541</v>
      </c>
      <c r="BV41" s="483">
        <f t="shared" si="23"/>
        <v>103.01815192881207</v>
      </c>
      <c r="BW41" s="483">
        <f t="shared" si="24"/>
        <v>76.393722454514645</v>
      </c>
      <c r="BX41" s="483">
        <f t="shared" si="25"/>
        <v>78.699401062266929</v>
      </c>
      <c r="BY41" s="483">
        <f t="shared" si="26"/>
        <v>8.2681707710433336</v>
      </c>
      <c r="BZ41" s="483">
        <v>5</v>
      </c>
      <c r="CA41" s="483">
        <v>7.48</v>
      </c>
      <c r="CB41" s="483">
        <v>12.58</v>
      </c>
      <c r="CC41" s="483">
        <v>5.0999999999999996</v>
      </c>
      <c r="CD41" s="483">
        <v>11.73</v>
      </c>
      <c r="CE41" s="483">
        <v>16.13</v>
      </c>
      <c r="CF41" s="483">
        <v>4.4000000000000004</v>
      </c>
    </row>
    <row r="42" spans="9:84" s="482" customFormat="1" ht="9.75" customHeight="1">
      <c r="I42" s="519" t="s">
        <v>1213</v>
      </c>
      <c r="J42" s="520"/>
      <c r="K42" s="845">
        <v>90992.1</v>
      </c>
      <c r="L42" s="845">
        <v>796.1</v>
      </c>
      <c r="M42" s="845">
        <f t="shared" si="31"/>
        <v>91788.200000000012</v>
      </c>
      <c r="N42" s="845">
        <v>8679.5</v>
      </c>
      <c r="O42" s="845">
        <f t="shared" si="32"/>
        <v>83108.700000000012</v>
      </c>
      <c r="P42" s="820">
        <v>156343</v>
      </c>
      <c r="Q42" s="845">
        <v>40339.300000000003</v>
      </c>
      <c r="R42" s="845">
        <v>58720.3</v>
      </c>
      <c r="S42" s="845">
        <v>578709</v>
      </c>
      <c r="T42" s="521">
        <f t="shared" si="37"/>
        <v>637429.30000000005</v>
      </c>
      <c r="U42" s="521">
        <f t="shared" si="38"/>
        <v>677768.60000000009</v>
      </c>
      <c r="V42" s="845">
        <v>426.9</v>
      </c>
      <c r="W42" s="521">
        <f t="shared" si="28"/>
        <v>142255.9</v>
      </c>
      <c r="X42" s="521">
        <f t="shared" si="29"/>
        <v>720964.9</v>
      </c>
      <c r="Y42" s="820" t="s">
        <v>836</v>
      </c>
      <c r="Z42" s="820" t="s">
        <v>836</v>
      </c>
      <c r="AA42" s="519" t="s">
        <v>1213</v>
      </c>
      <c r="AB42" s="521">
        <v>0</v>
      </c>
      <c r="AC42" s="845">
        <v>14571</v>
      </c>
      <c r="AD42" s="845">
        <v>491584.5</v>
      </c>
      <c r="AE42" s="521">
        <f t="shared" si="33"/>
        <v>506155.5</v>
      </c>
      <c r="AF42" s="521">
        <v>0</v>
      </c>
      <c r="AG42" s="845">
        <v>1324.4</v>
      </c>
      <c r="AH42" s="845">
        <v>16268.3</v>
      </c>
      <c r="AI42" s="521">
        <f t="shared" si="34"/>
        <v>17592.7</v>
      </c>
      <c r="AJ42" s="849">
        <v>7790.8</v>
      </c>
      <c r="AK42" s="849">
        <v>164536.29999999999</v>
      </c>
      <c r="AL42" s="732">
        <v>12895.5</v>
      </c>
      <c r="AM42" s="851">
        <f t="shared" si="35"/>
        <v>177431.8</v>
      </c>
      <c r="AN42" s="521">
        <f t="shared" si="47"/>
        <v>7790.8</v>
      </c>
      <c r="AO42" s="521">
        <f t="shared" si="47"/>
        <v>180431.69999999998</v>
      </c>
      <c r="AP42" s="521">
        <f t="shared" si="47"/>
        <v>520748.3</v>
      </c>
      <c r="AQ42" s="521">
        <f t="shared" si="47"/>
        <v>701180</v>
      </c>
      <c r="AR42" s="519" t="s">
        <v>1213</v>
      </c>
      <c r="AS42" s="845">
        <v>5558.6</v>
      </c>
      <c r="AT42" s="845">
        <v>9792.2000000000007</v>
      </c>
      <c r="AU42" s="820">
        <v>9436.7000000000007</v>
      </c>
      <c r="AV42" s="845">
        <f>125+5.3+1.4</f>
        <v>131.70000000000002</v>
      </c>
      <c r="AW42" s="845">
        <f>677796.6-8.86</f>
        <v>677787.74</v>
      </c>
      <c r="AX42" s="845">
        <v>6423.5</v>
      </c>
      <c r="AY42" s="521">
        <f t="shared" si="36"/>
        <v>684211.24</v>
      </c>
      <c r="AZ42" s="521">
        <f t="shared" si="48"/>
        <v>44473.730600000003</v>
      </c>
      <c r="BA42" s="520">
        <f>BB42-AZ42</f>
        <v>3374.9693999999945</v>
      </c>
      <c r="BB42" s="820">
        <v>47848.7</v>
      </c>
      <c r="BC42" s="845">
        <v>1823708.1</v>
      </c>
      <c r="BD42" s="520">
        <f t="shared" si="41"/>
        <v>139636.90000000002</v>
      </c>
      <c r="BE42" s="845">
        <v>0.2</v>
      </c>
      <c r="BF42" s="845">
        <v>8696.6</v>
      </c>
      <c r="BG42" s="845">
        <f>1250.8+342+1411</f>
        <v>3003.8</v>
      </c>
      <c r="BH42" s="845">
        <f>159966.3+4077.8</f>
        <v>164044.09999999998</v>
      </c>
      <c r="BI42" s="521">
        <f t="shared" si="22"/>
        <v>175744.69999999998</v>
      </c>
      <c r="BJ42" s="519" t="s">
        <v>1213</v>
      </c>
      <c r="BK42" s="520"/>
      <c r="BL42" s="531">
        <v>0.09</v>
      </c>
      <c r="BM42" s="531">
        <v>13.6</v>
      </c>
      <c r="BN42" s="531">
        <v>3.47</v>
      </c>
      <c r="BO42" s="531">
        <v>3.05</v>
      </c>
      <c r="BP42" s="531">
        <v>2.9</v>
      </c>
      <c r="BQ42" s="531" t="s">
        <v>836</v>
      </c>
      <c r="BR42" s="531" t="s">
        <v>836</v>
      </c>
      <c r="BS42" s="532" t="s">
        <v>836</v>
      </c>
      <c r="BT42" s="532">
        <v>8894</v>
      </c>
      <c r="BU42" s="532">
        <v>3543</v>
      </c>
      <c r="BV42" s="531">
        <f t="shared" si="23"/>
        <v>103.45126632122322</v>
      </c>
      <c r="BW42" s="531">
        <f t="shared" si="24"/>
        <v>76.207301551607827</v>
      </c>
      <c r="BX42" s="531">
        <f t="shared" si="25"/>
        <v>78.837418484371483</v>
      </c>
      <c r="BY42" s="531">
        <f t="shared" si="26"/>
        <v>8.3401036436569367</v>
      </c>
      <c r="BZ42" s="531">
        <v>5</v>
      </c>
      <c r="CA42" s="531">
        <v>7.4</v>
      </c>
      <c r="CB42" s="531">
        <v>12.49</v>
      </c>
      <c r="CC42" s="531">
        <v>5.09</v>
      </c>
      <c r="CD42" s="531">
        <v>11.54</v>
      </c>
      <c r="CE42" s="531">
        <v>16.04</v>
      </c>
      <c r="CF42" s="531">
        <v>4.5</v>
      </c>
    </row>
    <row r="43" spans="9:84" s="482" customFormat="1" ht="9.75" customHeight="1">
      <c r="I43" s="431" t="s">
        <v>1214</v>
      </c>
      <c r="J43" s="432"/>
      <c r="K43" s="852">
        <v>88988.9</v>
      </c>
      <c r="L43" s="852">
        <v>795.8</v>
      </c>
      <c r="M43" s="852">
        <f t="shared" si="31"/>
        <v>89784.7</v>
      </c>
      <c r="N43" s="852">
        <v>8875.7999999999993</v>
      </c>
      <c r="O43" s="852">
        <f t="shared" si="32"/>
        <v>80908.899999999994</v>
      </c>
      <c r="P43" s="857">
        <v>15463.7</v>
      </c>
      <c r="Q43" s="852">
        <v>44658.2</v>
      </c>
      <c r="R43" s="852">
        <v>61079.199999999997</v>
      </c>
      <c r="S43" s="857">
        <v>582636.6</v>
      </c>
      <c r="T43" s="433">
        <f t="shared" si="37"/>
        <v>643715.79999999993</v>
      </c>
      <c r="U43" s="433">
        <f t="shared" si="38"/>
        <v>688373.99999999988</v>
      </c>
      <c r="V43" s="852">
        <v>440.5</v>
      </c>
      <c r="W43" s="433">
        <f t="shared" si="28"/>
        <v>142428.59999999998</v>
      </c>
      <c r="X43" s="433">
        <f t="shared" si="29"/>
        <v>725065.2</v>
      </c>
      <c r="Y43" s="857" t="s">
        <v>836</v>
      </c>
      <c r="Z43" s="857" t="s">
        <v>836</v>
      </c>
      <c r="AA43" s="431" t="s">
        <v>1214</v>
      </c>
      <c r="AB43" s="433">
        <v>0</v>
      </c>
      <c r="AC43" s="852">
        <v>15350.1</v>
      </c>
      <c r="AD43" s="852">
        <v>497328.4</v>
      </c>
      <c r="AE43" s="433">
        <f t="shared" si="33"/>
        <v>512678.5</v>
      </c>
      <c r="AF43" s="433">
        <v>0</v>
      </c>
      <c r="AG43" s="852">
        <v>1420.9</v>
      </c>
      <c r="AH43" s="852">
        <v>16567.5</v>
      </c>
      <c r="AI43" s="433">
        <f t="shared" si="34"/>
        <v>17988.400000000001</v>
      </c>
      <c r="AJ43" s="882">
        <f>4434.7+6576.3</f>
        <v>11011</v>
      </c>
      <c r="AK43" s="882">
        <v>164112.9</v>
      </c>
      <c r="AL43" s="700">
        <v>12651.7</v>
      </c>
      <c r="AM43" s="824">
        <f t="shared" si="35"/>
        <v>176764.6</v>
      </c>
      <c r="AN43" s="433">
        <f t="shared" si="47"/>
        <v>11011</v>
      </c>
      <c r="AO43" s="433">
        <f t="shared" si="47"/>
        <v>180883.9</v>
      </c>
      <c r="AP43" s="433">
        <f t="shared" si="47"/>
        <v>526547.6</v>
      </c>
      <c r="AQ43" s="433">
        <f t="shared" si="47"/>
        <v>707431.5</v>
      </c>
      <c r="AR43" s="431" t="s">
        <v>1214</v>
      </c>
      <c r="AS43" s="852">
        <v>5335.3</v>
      </c>
      <c r="AT43" s="852">
        <v>5966</v>
      </c>
      <c r="AU43" s="857">
        <v>11485.6</v>
      </c>
      <c r="AV43" s="852">
        <f>70+14.3+1.4+10.8</f>
        <v>96.5</v>
      </c>
      <c r="AW43" s="852">
        <f>688401.4-9.84</f>
        <v>688391.56</v>
      </c>
      <c r="AX43" s="852">
        <v>6833.8</v>
      </c>
      <c r="AY43" s="433">
        <f t="shared" si="36"/>
        <v>695225.3600000001</v>
      </c>
      <c r="AZ43" s="433">
        <f t="shared" si="48"/>
        <v>45189.648400000005</v>
      </c>
      <c r="BA43" s="432">
        <f t="shared" si="40"/>
        <v>2403.5515999999916</v>
      </c>
      <c r="BB43" s="857">
        <v>47593.2</v>
      </c>
      <c r="BC43" s="852">
        <v>1859258.7</v>
      </c>
      <c r="BD43" s="432">
        <f t="shared" si="41"/>
        <v>137377.9</v>
      </c>
      <c r="BE43" s="852">
        <v>0.2</v>
      </c>
      <c r="BF43" s="852">
        <v>9789.4</v>
      </c>
      <c r="BG43" s="852">
        <f>1347.8+199.7+1567.9</f>
        <v>3115.4</v>
      </c>
      <c r="BH43" s="852">
        <f>159474.1+4148.8</f>
        <v>163622.9</v>
      </c>
      <c r="BI43" s="433">
        <f t="shared" si="22"/>
        <v>176527.9</v>
      </c>
      <c r="BJ43" s="431" t="s">
        <v>1214</v>
      </c>
      <c r="BK43" s="432"/>
      <c r="BL43" s="483">
        <v>-2.42</v>
      </c>
      <c r="BM43" s="483">
        <v>27.96</v>
      </c>
      <c r="BN43" s="483">
        <v>4.6100000000000003</v>
      </c>
      <c r="BO43" s="483">
        <v>3.78</v>
      </c>
      <c r="BP43" s="483">
        <v>6.12</v>
      </c>
      <c r="BQ43" s="483" t="s">
        <v>836</v>
      </c>
      <c r="BR43" s="483" t="s">
        <v>836</v>
      </c>
      <c r="BS43" s="739" t="s">
        <v>836</v>
      </c>
      <c r="BT43" s="739">
        <v>8945</v>
      </c>
      <c r="BU43" s="739">
        <v>3543</v>
      </c>
      <c r="BV43" s="483">
        <f t="shared" si="23"/>
        <v>102.76585901198439</v>
      </c>
      <c r="BW43" s="483">
        <f t="shared" si="24"/>
        <v>76.958251537171606</v>
      </c>
      <c r="BX43" s="483">
        <f t="shared" si="25"/>
        <v>79.086808272778086</v>
      </c>
      <c r="BY43" s="483">
        <f t="shared" si="26"/>
        <v>8.2030349122816073</v>
      </c>
      <c r="BZ43" s="483">
        <v>5</v>
      </c>
      <c r="CA43" s="483">
        <v>7.32</v>
      </c>
      <c r="CB43" s="483">
        <v>12.49</v>
      </c>
      <c r="CC43" s="483">
        <v>5.17</v>
      </c>
      <c r="CD43" s="483">
        <v>11.36</v>
      </c>
      <c r="CE43" s="483">
        <v>15.94</v>
      </c>
      <c r="CF43" s="483">
        <v>4.58</v>
      </c>
    </row>
    <row r="44" spans="9:84" s="482" customFormat="1" ht="9.75" customHeight="1">
      <c r="I44" s="519" t="s">
        <v>1207</v>
      </c>
      <c r="J44" s="520"/>
      <c r="K44" s="845">
        <v>89742.6</v>
      </c>
      <c r="L44" s="845">
        <v>795.7</v>
      </c>
      <c r="M44" s="845">
        <f t="shared" si="31"/>
        <v>90538.3</v>
      </c>
      <c r="N44" s="845">
        <v>8588.1</v>
      </c>
      <c r="O44" s="845">
        <f t="shared" si="32"/>
        <v>81950.2</v>
      </c>
      <c r="P44" s="820">
        <v>182764</v>
      </c>
      <c r="Q44" s="845">
        <v>45696.9</v>
      </c>
      <c r="R44" s="845">
        <v>65636</v>
      </c>
      <c r="S44" s="820">
        <v>593215.6</v>
      </c>
      <c r="T44" s="521">
        <f t="shared" si="37"/>
        <v>658851.6</v>
      </c>
      <c r="U44" s="521">
        <f t="shared" si="38"/>
        <v>704548.5</v>
      </c>
      <c r="V44" s="845">
        <v>446.5</v>
      </c>
      <c r="W44" s="521">
        <f t="shared" si="28"/>
        <v>148032.70000000001</v>
      </c>
      <c r="X44" s="521">
        <f t="shared" si="29"/>
        <v>741248.3</v>
      </c>
      <c r="Y44" s="820" t="s">
        <v>836</v>
      </c>
      <c r="Z44" s="820" t="s">
        <v>836</v>
      </c>
      <c r="AA44" s="519" t="s">
        <v>1207</v>
      </c>
      <c r="AB44" s="521">
        <v>0</v>
      </c>
      <c r="AC44" s="845">
        <v>17778</v>
      </c>
      <c r="AD44" s="845">
        <v>509685.7</v>
      </c>
      <c r="AE44" s="521">
        <f t="shared" si="33"/>
        <v>527463.69999999995</v>
      </c>
      <c r="AF44" s="521">
        <v>0</v>
      </c>
      <c r="AG44" s="845">
        <v>1218.5999999999999</v>
      </c>
      <c r="AH44" s="845">
        <v>16467.2</v>
      </c>
      <c r="AI44" s="521">
        <f t="shared" si="34"/>
        <v>17685.8</v>
      </c>
      <c r="AJ44" s="849">
        <v>9297.1</v>
      </c>
      <c r="AK44" s="849">
        <v>164916.29999999999</v>
      </c>
      <c r="AL44" s="732">
        <v>12688.8</v>
      </c>
      <c r="AM44" s="851">
        <f t="shared" si="35"/>
        <v>177605.09999999998</v>
      </c>
      <c r="AN44" s="521">
        <f t="shared" si="47"/>
        <v>9297.1</v>
      </c>
      <c r="AO44" s="521">
        <f t="shared" si="47"/>
        <v>183912.9</v>
      </c>
      <c r="AP44" s="521">
        <f t="shared" si="47"/>
        <v>538841.70000000007</v>
      </c>
      <c r="AQ44" s="521">
        <f t="shared" si="47"/>
        <v>722754.6</v>
      </c>
      <c r="AR44" s="519" t="s">
        <v>1207</v>
      </c>
      <c r="AS44" s="845">
        <v>5755.8</v>
      </c>
      <c r="AT44" s="845">
        <v>8567.6</v>
      </c>
      <c r="AU44" s="820">
        <v>9932.7000000000007</v>
      </c>
      <c r="AV44" s="845">
        <f>30+8.3+1.4+46.3</f>
        <v>86</v>
      </c>
      <c r="AW44" s="845">
        <f>704574.6-11.46</f>
        <v>704563.14</v>
      </c>
      <c r="AX44" s="845">
        <v>6480.5</v>
      </c>
      <c r="AY44" s="521">
        <f t="shared" si="36"/>
        <v>711043.64</v>
      </c>
      <c r="AZ44" s="521">
        <f t="shared" si="48"/>
        <v>46217.836600000002</v>
      </c>
      <c r="BA44" s="520">
        <f t="shared" si="40"/>
        <v>1941.7633999999962</v>
      </c>
      <c r="BB44" s="820">
        <v>48159.6</v>
      </c>
      <c r="BC44" s="845">
        <v>1786955</v>
      </c>
      <c r="BD44" s="520">
        <f t="shared" si="41"/>
        <v>138697.9</v>
      </c>
      <c r="BE44" s="845">
        <v>13.6</v>
      </c>
      <c r="BF44" s="845">
        <v>9888.1</v>
      </c>
      <c r="BG44" s="845">
        <f>1143.4+431.9+1921.3</f>
        <v>3496.6000000000004</v>
      </c>
      <c r="BH44" s="845">
        <f>161575.1+2712</f>
        <v>164287.1</v>
      </c>
      <c r="BI44" s="521">
        <f t="shared" si="22"/>
        <v>177685.4</v>
      </c>
      <c r="BJ44" s="519" t="s">
        <v>1207</v>
      </c>
      <c r="BK44" s="520"/>
      <c r="BL44" s="531">
        <v>-4.63</v>
      </c>
      <c r="BM44" s="531">
        <v>43.18</v>
      </c>
      <c r="BN44" s="531">
        <v>7.05</v>
      </c>
      <c r="BO44" s="531">
        <v>5.62</v>
      </c>
      <c r="BP44" s="531">
        <v>7.14</v>
      </c>
      <c r="BQ44" s="531" t="s">
        <v>836</v>
      </c>
      <c r="BR44" s="531" t="s">
        <v>836</v>
      </c>
      <c r="BS44" s="532" t="s">
        <v>836</v>
      </c>
      <c r="BT44" s="532">
        <v>9040</v>
      </c>
      <c r="BU44" s="532">
        <v>3553</v>
      </c>
      <c r="BV44" s="531">
        <f t="shared" si="23"/>
        <v>102.58194886550551</v>
      </c>
      <c r="BW44" s="531">
        <f t="shared" si="24"/>
        <v>77.938400442477871</v>
      </c>
      <c r="BX44" s="531">
        <f t="shared" si="25"/>
        <v>79.950730088495575</v>
      </c>
      <c r="BY44" s="531">
        <f t="shared" si="26"/>
        <v>8.0543100792925379</v>
      </c>
      <c r="BZ44" s="531">
        <v>5</v>
      </c>
      <c r="CA44" s="531">
        <v>7.25</v>
      </c>
      <c r="CB44" s="531">
        <v>12.46</v>
      </c>
      <c r="CC44" s="531">
        <v>5.21</v>
      </c>
      <c r="CD44" s="531">
        <v>11.2</v>
      </c>
      <c r="CE44" s="531">
        <v>15.83</v>
      </c>
      <c r="CF44" s="531">
        <v>4.63</v>
      </c>
    </row>
    <row r="45" spans="9:84" s="482" customFormat="1" ht="9.75" customHeight="1">
      <c r="I45" s="431" t="s">
        <v>1215</v>
      </c>
      <c r="J45" s="432"/>
      <c r="K45" s="852">
        <v>90987.3</v>
      </c>
      <c r="L45" s="852">
        <v>795.4</v>
      </c>
      <c r="M45" s="852">
        <f t="shared" si="31"/>
        <v>91782.7</v>
      </c>
      <c r="N45" s="852">
        <v>9058.9</v>
      </c>
      <c r="O45" s="852">
        <f t="shared" si="32"/>
        <v>82723.8</v>
      </c>
      <c r="P45" s="857">
        <v>15711.8</v>
      </c>
      <c r="Q45" s="852">
        <v>44363.3</v>
      </c>
      <c r="R45" s="852">
        <v>61436.9</v>
      </c>
      <c r="S45" s="857">
        <v>593906.80000000005</v>
      </c>
      <c r="T45" s="433">
        <f t="shared" si="37"/>
        <v>655343.70000000007</v>
      </c>
      <c r="U45" s="433">
        <f t="shared" si="38"/>
        <v>699707.00000000012</v>
      </c>
      <c r="V45" s="852">
        <v>459</v>
      </c>
      <c r="W45" s="433">
        <f t="shared" si="28"/>
        <v>144619.70000000001</v>
      </c>
      <c r="X45" s="433">
        <f t="shared" si="29"/>
        <v>738526.5</v>
      </c>
      <c r="Y45" s="857" t="s">
        <v>836</v>
      </c>
      <c r="Z45" s="857" t="s">
        <v>836</v>
      </c>
      <c r="AA45" s="431" t="s">
        <v>1215</v>
      </c>
      <c r="AB45" s="433">
        <v>0</v>
      </c>
      <c r="AC45" s="852">
        <v>16953.2</v>
      </c>
      <c r="AD45" s="852">
        <v>507731.1</v>
      </c>
      <c r="AE45" s="433">
        <f t="shared" si="33"/>
        <v>524684.29999999993</v>
      </c>
      <c r="AF45" s="433">
        <v>0</v>
      </c>
      <c r="AG45" s="852">
        <v>1273</v>
      </c>
      <c r="AH45" s="852">
        <v>16768.5</v>
      </c>
      <c r="AI45" s="433">
        <f t="shared" si="34"/>
        <v>18041.5</v>
      </c>
      <c r="AJ45" s="882">
        <v>9144.6</v>
      </c>
      <c r="AK45" s="882">
        <v>162593.20000000001</v>
      </c>
      <c r="AL45" s="700">
        <v>12750.5</v>
      </c>
      <c r="AM45" s="824">
        <f t="shared" si="35"/>
        <v>175343.7</v>
      </c>
      <c r="AN45" s="433">
        <f t="shared" si="47"/>
        <v>9144.6</v>
      </c>
      <c r="AO45" s="433">
        <f t="shared" si="47"/>
        <v>180819.40000000002</v>
      </c>
      <c r="AP45" s="433">
        <f t="shared" si="47"/>
        <v>537250.1</v>
      </c>
      <c r="AQ45" s="433">
        <f t="shared" si="47"/>
        <v>718069.5</v>
      </c>
      <c r="AR45" s="431" t="s">
        <v>1215</v>
      </c>
      <c r="AS45" s="852">
        <v>5414.8</v>
      </c>
      <c r="AT45" s="852">
        <v>7508.1</v>
      </c>
      <c r="AU45" s="857">
        <v>9231.7999999999993</v>
      </c>
      <c r="AV45" s="852">
        <f>156+12.9+1.4+63.7</f>
        <v>234</v>
      </c>
      <c r="AW45" s="852">
        <f>699734.3-10</f>
        <v>699724.3</v>
      </c>
      <c r="AX45" s="852">
        <v>6557.4</v>
      </c>
      <c r="AY45" s="433">
        <f t="shared" si="36"/>
        <v>706281.70000000007</v>
      </c>
      <c r="AZ45" s="433">
        <f t="shared" si="48"/>
        <v>45908.310500000007</v>
      </c>
      <c r="BA45" s="432">
        <f t="shared" si="40"/>
        <v>1482.7894999999917</v>
      </c>
      <c r="BB45" s="857">
        <v>47391.1</v>
      </c>
      <c r="BC45" s="852">
        <v>1774497</v>
      </c>
      <c r="BD45" s="432">
        <f t="shared" si="41"/>
        <v>139173.79999999999</v>
      </c>
      <c r="BE45" s="852">
        <v>8.3000000000000007</v>
      </c>
      <c r="BF45" s="852">
        <v>9482.9</v>
      </c>
      <c r="BG45" s="852">
        <f>1190.4+328.8+1516.1</f>
        <v>3035.3</v>
      </c>
      <c r="BH45" s="852">
        <f>158783.2+3178.2</f>
        <v>161961.40000000002</v>
      </c>
      <c r="BI45" s="433">
        <f t="shared" si="22"/>
        <v>174487.90000000002</v>
      </c>
      <c r="BJ45" s="431" t="s">
        <v>1215</v>
      </c>
      <c r="BK45" s="432"/>
      <c r="BL45" s="483">
        <v>-5.37</v>
      </c>
      <c r="BM45" s="483">
        <v>40.5</v>
      </c>
      <c r="BN45" s="483">
        <v>6.75</v>
      </c>
      <c r="BO45" s="483">
        <v>5.19</v>
      </c>
      <c r="BP45" s="483">
        <v>5.41</v>
      </c>
      <c r="BQ45" s="483" t="s">
        <v>836</v>
      </c>
      <c r="BR45" s="483" t="s">
        <v>836</v>
      </c>
      <c r="BS45" s="739" t="s">
        <v>836</v>
      </c>
      <c r="BT45" s="739">
        <v>9051</v>
      </c>
      <c r="BU45" s="739">
        <v>3618</v>
      </c>
      <c r="BV45" s="483">
        <f t="shared" si="23"/>
        <v>102.62177546213557</v>
      </c>
      <c r="BW45" s="483">
        <f t="shared" si="24"/>
        <v>77.309059772400843</v>
      </c>
      <c r="BX45" s="483">
        <f t="shared" si="25"/>
        <v>79.335929731521375</v>
      </c>
      <c r="BY45" s="483">
        <f t="shared" si="26"/>
        <v>8.0674631422690339</v>
      </c>
      <c r="BZ45" s="483">
        <v>5</v>
      </c>
      <c r="CA45" s="483">
        <v>7.26</v>
      </c>
      <c r="CB45" s="483">
        <v>12.32</v>
      </c>
      <c r="CC45" s="483">
        <v>5.0599999999999996</v>
      </c>
      <c r="CD45" s="483">
        <v>11.12</v>
      </c>
      <c r="CE45" s="483">
        <v>15.68</v>
      </c>
      <c r="CF45" s="483">
        <v>4.57</v>
      </c>
    </row>
    <row r="46" spans="9:84" s="482" customFormat="1" ht="9.75" customHeight="1">
      <c r="I46" s="519" t="s">
        <v>1216</v>
      </c>
      <c r="J46" s="520"/>
      <c r="K46" s="845">
        <v>91668.4</v>
      </c>
      <c r="L46" s="845">
        <v>794.6</v>
      </c>
      <c r="M46" s="845">
        <f t="shared" si="31"/>
        <v>92463</v>
      </c>
      <c r="N46" s="845">
        <v>9395.2999999999993</v>
      </c>
      <c r="O46" s="845">
        <f t="shared" si="32"/>
        <v>83067.7</v>
      </c>
      <c r="P46" s="845">
        <v>14972</v>
      </c>
      <c r="Q46" s="845">
        <v>44696.2</v>
      </c>
      <c r="R46" s="845">
        <v>61984.5</v>
      </c>
      <c r="S46" s="820">
        <v>601576.80000000005</v>
      </c>
      <c r="T46" s="521">
        <f t="shared" si="37"/>
        <v>663561.30000000005</v>
      </c>
      <c r="U46" s="521">
        <f t="shared" si="38"/>
        <v>708257.5</v>
      </c>
      <c r="V46" s="845">
        <v>457.5</v>
      </c>
      <c r="W46" s="521">
        <f t="shared" si="28"/>
        <v>145509.70000000001</v>
      </c>
      <c r="X46" s="521">
        <f t="shared" si="29"/>
        <v>747086.5</v>
      </c>
      <c r="Y46" s="820" t="s">
        <v>836</v>
      </c>
      <c r="Z46" s="820" t="s">
        <v>836</v>
      </c>
      <c r="AA46" s="519" t="s">
        <v>1216</v>
      </c>
      <c r="AB46" s="521">
        <v>0</v>
      </c>
      <c r="AC46" s="845">
        <v>16380</v>
      </c>
      <c r="AD46" s="845">
        <v>512223.8</v>
      </c>
      <c r="AE46" s="521">
        <f t="shared" si="33"/>
        <v>528603.80000000005</v>
      </c>
      <c r="AF46" s="521">
        <v>0</v>
      </c>
      <c r="AG46" s="845">
        <v>1266.2</v>
      </c>
      <c r="AH46" s="845">
        <v>15753.5</v>
      </c>
      <c r="AI46" s="521">
        <f t="shared" si="34"/>
        <v>17019.7</v>
      </c>
      <c r="AJ46" s="849">
        <v>11384.3</v>
      </c>
      <c r="AK46" s="849">
        <v>161721.70000000001</v>
      </c>
      <c r="AL46" s="732">
        <v>12978.2</v>
      </c>
      <c r="AM46" s="851">
        <f t="shared" si="35"/>
        <v>174699.90000000002</v>
      </c>
      <c r="AN46" s="521">
        <f t="shared" si="47"/>
        <v>11384.3</v>
      </c>
      <c r="AO46" s="521">
        <f t="shared" si="47"/>
        <v>179367.90000000002</v>
      </c>
      <c r="AP46" s="521">
        <f t="shared" si="47"/>
        <v>540955.5</v>
      </c>
      <c r="AQ46" s="521">
        <f t="shared" si="47"/>
        <v>720323.4</v>
      </c>
      <c r="AR46" s="519" t="s">
        <v>1216</v>
      </c>
      <c r="AS46" s="845">
        <v>4982.5</v>
      </c>
      <c r="AT46" s="845">
        <v>6774</v>
      </c>
      <c r="AU46" s="820">
        <v>12860.9</v>
      </c>
      <c r="AV46" s="845">
        <v>133.9</v>
      </c>
      <c r="AW46" s="845">
        <f>708284.7-9.8</f>
        <v>708274.89999999991</v>
      </c>
      <c r="AX46" s="845">
        <v>6957.9</v>
      </c>
      <c r="AY46" s="521">
        <f t="shared" si="36"/>
        <v>715232.79999999993</v>
      </c>
      <c r="AZ46" s="521">
        <f t="shared" si="48"/>
        <v>46490.131999999998</v>
      </c>
      <c r="BA46" s="520">
        <f t="shared" si="40"/>
        <v>601.5679999999993</v>
      </c>
      <c r="BB46" s="820">
        <v>47091.7</v>
      </c>
      <c r="BC46" s="845">
        <v>1825031.3</v>
      </c>
      <c r="BD46" s="520">
        <f t="shared" si="41"/>
        <v>139554.70000000001</v>
      </c>
      <c r="BE46" s="845">
        <v>4.0999999999999996</v>
      </c>
      <c r="BF46" s="845">
        <f>8935.9</f>
        <v>8935.9</v>
      </c>
      <c r="BG46" s="845">
        <f>1178.9+250.1+1567.4</f>
        <v>2996.4</v>
      </c>
      <c r="BH46" s="845">
        <f>158291.7+2810.1</f>
        <v>161101.80000000002</v>
      </c>
      <c r="BI46" s="521">
        <f t="shared" si="22"/>
        <v>173038.2</v>
      </c>
      <c r="BJ46" s="519" t="s">
        <v>1216</v>
      </c>
      <c r="BK46" s="520"/>
      <c r="BL46" s="531">
        <v>-5.81</v>
      </c>
      <c r="BM46" s="531">
        <v>36.14</v>
      </c>
      <c r="BN46" s="531">
        <v>7.46</v>
      </c>
      <c r="BO46" s="531">
        <v>5.59</v>
      </c>
      <c r="BP46" s="531">
        <v>6.63</v>
      </c>
      <c r="BQ46" s="531" t="s">
        <v>836</v>
      </c>
      <c r="BR46" s="531" t="s">
        <v>836</v>
      </c>
      <c r="BS46" s="532" t="s">
        <v>836</v>
      </c>
      <c r="BT46" s="532">
        <v>9060</v>
      </c>
      <c r="BU46" s="532">
        <v>3623</v>
      </c>
      <c r="BV46" s="531">
        <f t="shared" si="23"/>
        <v>101.70110503704142</v>
      </c>
      <c r="BW46" s="531">
        <f t="shared" si="24"/>
        <v>78.176037527593806</v>
      </c>
      <c r="BX46" s="531">
        <f t="shared" si="25"/>
        <v>79.505894039735097</v>
      </c>
      <c r="BY46" s="531">
        <f t="shared" si="26"/>
        <v>7.9752932088938921</v>
      </c>
      <c r="BZ46" s="531">
        <v>5</v>
      </c>
      <c r="CA46" s="531">
        <v>7.19</v>
      </c>
      <c r="CB46" s="531">
        <v>12.23</v>
      </c>
      <c r="CC46" s="531">
        <v>5.04</v>
      </c>
      <c r="CD46" s="531">
        <v>11.04</v>
      </c>
      <c r="CE46" s="531">
        <v>15.6</v>
      </c>
      <c r="CF46" s="531">
        <v>4.5599999999999996</v>
      </c>
    </row>
    <row r="47" spans="9:84" s="482" customFormat="1" ht="9.75" customHeight="1">
      <c r="I47" s="431" t="s">
        <v>1208</v>
      </c>
      <c r="J47" s="432"/>
      <c r="K47" s="852">
        <v>91101.2</v>
      </c>
      <c r="L47" s="852">
        <v>793.6</v>
      </c>
      <c r="M47" s="852">
        <f t="shared" si="31"/>
        <v>91894.8</v>
      </c>
      <c r="N47" s="852">
        <v>9769.5</v>
      </c>
      <c r="O47" s="852">
        <f t="shared" si="32"/>
        <v>82125.3</v>
      </c>
      <c r="P47" s="852">
        <v>14550.3</v>
      </c>
      <c r="Q47" s="852">
        <v>44685</v>
      </c>
      <c r="R47" s="852">
        <v>64202.1</v>
      </c>
      <c r="S47" s="857">
        <v>604564.9</v>
      </c>
      <c r="T47" s="433">
        <f t="shared" si="37"/>
        <v>668767</v>
      </c>
      <c r="U47" s="433">
        <f t="shared" si="38"/>
        <v>713452</v>
      </c>
      <c r="V47" s="852">
        <v>494.2</v>
      </c>
      <c r="W47" s="433">
        <f t="shared" si="28"/>
        <v>146821.6</v>
      </c>
      <c r="X47" s="433">
        <f t="shared" si="29"/>
        <v>751386.5</v>
      </c>
      <c r="Y47" s="857" t="s">
        <v>836</v>
      </c>
      <c r="Z47" s="857" t="s">
        <v>836</v>
      </c>
      <c r="AA47" s="431" t="s">
        <v>1208</v>
      </c>
      <c r="AB47" s="433">
        <v>0</v>
      </c>
      <c r="AC47" s="852">
        <v>16408.099999999999</v>
      </c>
      <c r="AD47" s="852">
        <v>517205.1</v>
      </c>
      <c r="AE47" s="433">
        <f t="shared" si="33"/>
        <v>533613.19999999995</v>
      </c>
      <c r="AF47" s="433">
        <v>0</v>
      </c>
      <c r="AG47" s="852">
        <v>1241.5</v>
      </c>
      <c r="AH47" s="852">
        <v>17837.8</v>
      </c>
      <c r="AI47" s="433">
        <f t="shared" si="34"/>
        <v>19079.3</v>
      </c>
      <c r="AJ47" s="882">
        <v>10894.3</v>
      </c>
      <c r="AK47" s="882">
        <v>163059.9</v>
      </c>
      <c r="AL47" s="700">
        <v>13026.5</v>
      </c>
      <c r="AM47" s="824">
        <f t="shared" si="35"/>
        <v>176086.39999999999</v>
      </c>
      <c r="AN47" s="433">
        <f t="shared" si="47"/>
        <v>10894.3</v>
      </c>
      <c r="AO47" s="433">
        <f t="shared" si="47"/>
        <v>180709.5</v>
      </c>
      <c r="AP47" s="433">
        <f t="shared" si="47"/>
        <v>548069.4</v>
      </c>
      <c r="AQ47" s="433">
        <f t="shared" si="47"/>
        <v>728778.9</v>
      </c>
      <c r="AR47" s="431" t="s">
        <v>1208</v>
      </c>
      <c r="AS47" s="852">
        <v>4425.1000000000004</v>
      </c>
      <c r="AT47" s="852">
        <v>9469.4</v>
      </c>
      <c r="AU47" s="857">
        <v>11504.3</v>
      </c>
      <c r="AV47" s="852">
        <f>20+43.7+1.4+9.1</f>
        <v>74.2</v>
      </c>
      <c r="AW47" s="852">
        <f>713479.2-9.47</f>
        <v>713469.73</v>
      </c>
      <c r="AX47" s="852">
        <v>6238.8</v>
      </c>
      <c r="AY47" s="433">
        <f t="shared" si="36"/>
        <v>719708.53</v>
      </c>
      <c r="AZ47" s="433">
        <f t="shared" si="48"/>
        <v>46781.054450000003</v>
      </c>
      <c r="BA47" s="432">
        <f t="shared" si="40"/>
        <v>681.74554999999964</v>
      </c>
      <c r="BB47" s="857">
        <v>47462.8</v>
      </c>
      <c r="BC47" s="852">
        <v>1855839.2</v>
      </c>
      <c r="BD47" s="432">
        <f t="shared" si="41"/>
        <v>139357.6</v>
      </c>
      <c r="BE47" s="852">
        <v>0.1</v>
      </c>
      <c r="BF47" s="852">
        <v>8991.5</v>
      </c>
      <c r="BG47" s="852">
        <f>180.4+1153.2+1727.6</f>
        <v>3061.2</v>
      </c>
      <c r="BH47" s="852">
        <f>158879.7+2923.5</f>
        <v>161803.20000000001</v>
      </c>
      <c r="BI47" s="433">
        <f t="shared" si="22"/>
        <v>173856</v>
      </c>
      <c r="BJ47" s="431" t="s">
        <v>1208</v>
      </c>
      <c r="BK47" s="432"/>
      <c r="BL47" s="483">
        <v>-10.11</v>
      </c>
      <c r="BM47" s="483">
        <v>40.68</v>
      </c>
      <c r="BN47" s="483">
        <v>8.8699999999999992</v>
      </c>
      <c r="BO47" s="483">
        <v>6.01</v>
      </c>
      <c r="BP47" s="483">
        <v>7.25</v>
      </c>
      <c r="BQ47" s="483" t="s">
        <v>836</v>
      </c>
      <c r="BR47" s="483" t="s">
        <v>836</v>
      </c>
      <c r="BS47" s="739" t="s">
        <v>836</v>
      </c>
      <c r="BT47" s="739">
        <v>9075</v>
      </c>
      <c r="BU47" s="739">
        <v>3627</v>
      </c>
      <c r="BV47" s="483">
        <f t="shared" si="23"/>
        <v>102.14573504050411</v>
      </c>
      <c r="BW47" s="483">
        <f t="shared" si="24"/>
        <v>78.61925399449035</v>
      </c>
      <c r="BX47" s="483">
        <f t="shared" si="25"/>
        <v>80.306214876033067</v>
      </c>
      <c r="BY47" s="483">
        <f t="shared" si="26"/>
        <v>8.0216857973778382</v>
      </c>
      <c r="BZ47" s="483">
        <v>5</v>
      </c>
      <c r="CA47" s="483">
        <v>7.06</v>
      </c>
      <c r="CB47" s="483">
        <v>11.93</v>
      </c>
      <c r="CC47" s="483">
        <v>4.87</v>
      </c>
      <c r="CD47" s="483">
        <v>11.01</v>
      </c>
      <c r="CE47" s="483">
        <v>15.47</v>
      </c>
      <c r="CF47" s="483">
        <v>4.46</v>
      </c>
    </row>
    <row r="48" spans="9:84" s="482" customFormat="1" ht="9.75" customHeight="1">
      <c r="I48" s="519" t="s">
        <v>1217</v>
      </c>
      <c r="J48" s="520"/>
      <c r="K48" s="845">
        <v>90260.7</v>
      </c>
      <c r="L48" s="845">
        <v>792.7</v>
      </c>
      <c r="M48" s="845">
        <f t="shared" si="31"/>
        <v>91053.4</v>
      </c>
      <c r="N48" s="845">
        <v>8173.6</v>
      </c>
      <c r="O48" s="845">
        <f t="shared" si="32"/>
        <v>82879.799999999988</v>
      </c>
      <c r="P48" s="845">
        <v>13217.6</v>
      </c>
      <c r="Q48" s="845">
        <v>44956.9</v>
      </c>
      <c r="R48" s="845">
        <v>63913.5</v>
      </c>
      <c r="S48" s="820">
        <v>607957.30000000005</v>
      </c>
      <c r="T48" s="521">
        <f t="shared" si="37"/>
        <v>671870.8</v>
      </c>
      <c r="U48" s="521">
        <f t="shared" si="38"/>
        <v>716827.70000000007</v>
      </c>
      <c r="V48" s="845">
        <v>441.8</v>
      </c>
      <c r="W48" s="521">
        <f t="shared" si="28"/>
        <v>147235.09999999998</v>
      </c>
      <c r="X48" s="521">
        <f t="shared" si="29"/>
        <v>755192.4</v>
      </c>
      <c r="Y48" s="820" t="s">
        <v>836</v>
      </c>
      <c r="Z48" s="820" t="s">
        <v>836</v>
      </c>
      <c r="AA48" s="519" t="s">
        <v>1217</v>
      </c>
      <c r="AB48" s="521">
        <v>0</v>
      </c>
      <c r="AC48" s="845">
        <v>15490.2</v>
      </c>
      <c r="AD48" s="845">
        <v>522169.9</v>
      </c>
      <c r="AE48" s="521">
        <f t="shared" si="33"/>
        <v>537660.1</v>
      </c>
      <c r="AF48" s="521">
        <v>0</v>
      </c>
      <c r="AG48" s="845">
        <v>1270</v>
      </c>
      <c r="AH48" s="845">
        <v>17793.900000000001</v>
      </c>
      <c r="AI48" s="521">
        <f t="shared" si="34"/>
        <v>19063.900000000001</v>
      </c>
      <c r="AJ48" s="849">
        <v>8748.7000000000007</v>
      </c>
      <c r="AK48" s="849">
        <v>164078</v>
      </c>
      <c r="AL48" s="732">
        <v>13184.3</v>
      </c>
      <c r="AM48" s="851">
        <f t="shared" si="35"/>
        <v>177262.3</v>
      </c>
      <c r="AN48" s="521">
        <f t="shared" si="47"/>
        <v>8748.7000000000007</v>
      </c>
      <c r="AO48" s="521">
        <f t="shared" si="47"/>
        <v>180838.2</v>
      </c>
      <c r="AP48" s="521">
        <f t="shared" si="47"/>
        <v>553148.10000000009</v>
      </c>
      <c r="AQ48" s="521">
        <f t="shared" si="47"/>
        <v>733986.3</v>
      </c>
      <c r="AR48" s="519" t="s">
        <v>1217</v>
      </c>
      <c r="AS48" s="845">
        <v>5020.3999999999996</v>
      </c>
      <c r="AT48" s="845">
        <v>4920.8999999999996</v>
      </c>
      <c r="AU48" s="820">
        <v>10214.299999999999</v>
      </c>
      <c r="AV48" s="845">
        <v>150.30000000000001</v>
      </c>
      <c r="AW48" s="845">
        <f>716866.6-8.1</f>
        <v>716858.5</v>
      </c>
      <c r="AX48" s="845">
        <v>6768</v>
      </c>
      <c r="AY48" s="521">
        <f t="shared" si="36"/>
        <v>723626.5</v>
      </c>
      <c r="AZ48" s="521">
        <f t="shared" si="48"/>
        <v>47035.722500000003</v>
      </c>
      <c r="BA48" s="520">
        <f t="shared" si="40"/>
        <v>521.87749999999505</v>
      </c>
      <c r="BB48" s="820">
        <v>47557.599999999999</v>
      </c>
      <c r="BC48" s="845">
        <v>1877336.7</v>
      </c>
      <c r="BD48" s="520">
        <f t="shared" si="41"/>
        <v>138611</v>
      </c>
      <c r="BE48" s="845">
        <v>1.4</v>
      </c>
      <c r="BF48" s="845">
        <v>8991.5</v>
      </c>
      <c r="BG48" s="845">
        <f>1190.1+273+1508.7</f>
        <v>2971.8</v>
      </c>
      <c r="BH48" s="845">
        <f>3119.4+159705</f>
        <v>162824.4</v>
      </c>
      <c r="BI48" s="521">
        <f t="shared" si="22"/>
        <v>174789.1</v>
      </c>
      <c r="BJ48" s="519" t="s">
        <v>1217</v>
      </c>
      <c r="BK48" s="520"/>
      <c r="BL48" s="531">
        <v>-11.27</v>
      </c>
      <c r="BM48" s="531">
        <v>34.35</v>
      </c>
      <c r="BN48" s="531">
        <v>9.8800000000000008</v>
      </c>
      <c r="BO48" s="531">
        <v>6.47</v>
      </c>
      <c r="BP48" s="531">
        <v>7.79</v>
      </c>
      <c r="BQ48" s="531" t="s">
        <v>836</v>
      </c>
      <c r="BR48" s="531" t="s">
        <v>836</v>
      </c>
      <c r="BS48" s="532" t="s">
        <v>836</v>
      </c>
      <c r="BT48" s="532">
        <v>9085</v>
      </c>
      <c r="BU48" s="532">
        <v>3630</v>
      </c>
      <c r="BV48" s="531">
        <f t="shared" si="23"/>
        <v>102.38928603064623</v>
      </c>
      <c r="BW48" s="531">
        <f t="shared" si="24"/>
        <v>78.905723720418266</v>
      </c>
      <c r="BX48" s="531">
        <f t="shared" si="25"/>
        <v>80.791007154650529</v>
      </c>
      <c r="BY48" s="531">
        <f t="shared" si="26"/>
        <v>7.7743655128592328</v>
      </c>
      <c r="BZ48" s="531">
        <v>5</v>
      </c>
      <c r="CA48" s="531">
        <v>7.04</v>
      </c>
      <c r="CB48" s="531">
        <v>11.88</v>
      </c>
      <c r="CC48" s="531">
        <v>4.84</v>
      </c>
      <c r="CD48" s="531">
        <v>10.85</v>
      </c>
      <c r="CE48" s="531">
        <v>15.37</v>
      </c>
      <c r="CF48" s="531">
        <v>4.5199999999999996</v>
      </c>
    </row>
    <row r="49" spans="9:84" s="482" customFormat="1" ht="9.75" customHeight="1">
      <c r="I49" s="431" t="s">
        <v>1218</v>
      </c>
      <c r="J49" s="432"/>
      <c r="K49" s="852">
        <v>92585.3</v>
      </c>
      <c r="L49" s="852">
        <v>792.2</v>
      </c>
      <c r="M49" s="852">
        <f t="shared" si="31"/>
        <v>93377.5</v>
      </c>
      <c r="N49" s="852">
        <v>9601.7000000000007</v>
      </c>
      <c r="O49" s="852">
        <f t="shared" si="32"/>
        <v>83775.8</v>
      </c>
      <c r="P49" s="852">
        <v>12756.1</v>
      </c>
      <c r="Q49" s="852">
        <v>45227.1</v>
      </c>
      <c r="R49" s="852">
        <v>66405</v>
      </c>
      <c r="S49" s="857">
        <v>617711.6</v>
      </c>
      <c r="T49" s="433">
        <f t="shared" si="37"/>
        <v>684116.6</v>
      </c>
      <c r="U49" s="433">
        <f t="shared" si="38"/>
        <v>729343.7</v>
      </c>
      <c r="V49" s="852">
        <v>457.4</v>
      </c>
      <c r="W49" s="433">
        <f t="shared" si="28"/>
        <v>150638.19999999998</v>
      </c>
      <c r="X49" s="433">
        <f t="shared" si="29"/>
        <v>768349.79999999993</v>
      </c>
      <c r="Y49" s="857" t="s">
        <v>836</v>
      </c>
      <c r="Z49" s="857" t="s">
        <v>836</v>
      </c>
      <c r="AA49" s="431" t="s">
        <v>1218</v>
      </c>
      <c r="AB49" s="433">
        <v>0</v>
      </c>
      <c r="AC49" s="852">
        <v>14988.4</v>
      </c>
      <c r="AD49" s="852">
        <v>526237.19999999995</v>
      </c>
      <c r="AE49" s="433">
        <f t="shared" si="33"/>
        <v>541225.6</v>
      </c>
      <c r="AF49" s="433">
        <v>0</v>
      </c>
      <c r="AG49" s="852">
        <v>1296.5</v>
      </c>
      <c r="AH49" s="852">
        <v>17722.8</v>
      </c>
      <c r="AI49" s="433">
        <f t="shared" si="34"/>
        <v>19019.3</v>
      </c>
      <c r="AJ49" s="882">
        <v>7459.3</v>
      </c>
      <c r="AK49" s="882">
        <v>158396.5</v>
      </c>
      <c r="AL49" s="700">
        <v>13335.6</v>
      </c>
      <c r="AM49" s="824">
        <f t="shared" si="35"/>
        <v>171732.1</v>
      </c>
      <c r="AN49" s="433">
        <f t="shared" si="47"/>
        <v>7459.3</v>
      </c>
      <c r="AO49" s="433">
        <f t="shared" si="47"/>
        <v>174681.4</v>
      </c>
      <c r="AP49" s="433">
        <f t="shared" si="47"/>
        <v>557295.6</v>
      </c>
      <c r="AQ49" s="433">
        <f t="shared" si="47"/>
        <v>731977</v>
      </c>
      <c r="AR49" s="431" t="s">
        <v>1218</v>
      </c>
      <c r="AS49" s="852">
        <v>5001.6000000000004</v>
      </c>
      <c r="AT49" s="852">
        <v>4929.7</v>
      </c>
      <c r="AU49" s="857">
        <v>8759.2000000000007</v>
      </c>
      <c r="AV49" s="852">
        <v>31.1</v>
      </c>
      <c r="AW49" s="852">
        <f>729382.7-9.3</f>
        <v>729373.39999999991</v>
      </c>
      <c r="AX49" s="852">
        <v>6375.4</v>
      </c>
      <c r="AY49" s="433">
        <f t="shared" si="36"/>
        <v>735748.79999999993</v>
      </c>
      <c r="AZ49" s="433">
        <f t="shared" si="48"/>
        <v>47823.671999999999</v>
      </c>
      <c r="BA49" s="432">
        <f t="shared" si="40"/>
        <v>1325.4279999999999</v>
      </c>
      <c r="BB49" s="857">
        <v>49149.1</v>
      </c>
      <c r="BC49" s="852">
        <v>1912636.7</v>
      </c>
      <c r="BD49" s="432">
        <f t="shared" si="41"/>
        <v>142526.6</v>
      </c>
      <c r="BE49" s="852">
        <v>3.3</v>
      </c>
      <c r="BF49" s="852">
        <v>8991.5</v>
      </c>
      <c r="BG49" s="852">
        <f>1217.6+529.4+1383.9</f>
        <v>3130.9</v>
      </c>
      <c r="BH49" s="852">
        <f>153764.8+3378.9</f>
        <v>157143.69999999998</v>
      </c>
      <c r="BI49" s="433">
        <f t="shared" si="22"/>
        <v>169269.4</v>
      </c>
      <c r="BJ49" s="431" t="s">
        <v>1218</v>
      </c>
      <c r="BK49" s="432"/>
      <c r="BL49" s="483">
        <v>-9.81</v>
      </c>
      <c r="BM49" s="483">
        <v>30.11</v>
      </c>
      <c r="BN49" s="483">
        <v>10.68</v>
      </c>
      <c r="BO49" s="483">
        <v>7.29</v>
      </c>
      <c r="BP49" s="483">
        <v>9.67</v>
      </c>
      <c r="BQ49" s="483" t="s">
        <v>836</v>
      </c>
      <c r="BR49" s="483" t="s">
        <v>836</v>
      </c>
      <c r="BS49" s="739" t="s">
        <v>836</v>
      </c>
      <c r="BT49" s="739">
        <v>9098</v>
      </c>
      <c r="BU49" s="739">
        <v>3667</v>
      </c>
      <c r="BV49" s="483">
        <f t="shared" si="23"/>
        <v>100.35696393644189</v>
      </c>
      <c r="BW49" s="483">
        <f t="shared" si="24"/>
        <v>80.168542536821263</v>
      </c>
      <c r="BX49" s="483">
        <f t="shared" si="25"/>
        <v>80.454715322048798</v>
      </c>
      <c r="BY49" s="483">
        <f t="shared" si="26"/>
        <v>8.0549688266668369</v>
      </c>
      <c r="BZ49" s="483">
        <v>5</v>
      </c>
      <c r="CA49" s="483">
        <v>6.99</v>
      </c>
      <c r="CB49" s="483">
        <v>11.82</v>
      </c>
      <c r="CC49" s="483">
        <v>4.83</v>
      </c>
      <c r="CD49" s="483">
        <v>10.73</v>
      </c>
      <c r="CE49" s="483">
        <v>15.21</v>
      </c>
      <c r="CF49" s="483">
        <v>4.4800000000000004</v>
      </c>
    </row>
    <row r="50" spans="9:84" s="482" customFormat="1" ht="9.75" customHeight="1">
      <c r="I50" s="519" t="s">
        <v>1209</v>
      </c>
      <c r="J50" s="520"/>
      <c r="K50" s="845">
        <v>97361.5</v>
      </c>
      <c r="L50" s="845">
        <v>792.4</v>
      </c>
      <c r="M50" s="845">
        <f t="shared" si="31"/>
        <v>98153.9</v>
      </c>
      <c r="N50" s="845">
        <v>10213.1</v>
      </c>
      <c r="O50" s="845">
        <f t="shared" si="32"/>
        <v>87940.799999999988</v>
      </c>
      <c r="P50" s="845">
        <v>13317.8</v>
      </c>
      <c r="Q50" s="845">
        <v>47116.6</v>
      </c>
      <c r="R50" s="845">
        <v>72383.7</v>
      </c>
      <c r="S50" s="820">
        <v>626799.9</v>
      </c>
      <c r="T50" s="521">
        <f t="shared" si="37"/>
        <v>699183.6</v>
      </c>
      <c r="U50" s="521">
        <f t="shared" si="38"/>
        <v>746300.2</v>
      </c>
      <c r="V50" s="845">
        <v>489.7</v>
      </c>
      <c r="W50" s="521">
        <f t="shared" si="28"/>
        <v>160814.20000000001</v>
      </c>
      <c r="X50" s="521">
        <f t="shared" si="29"/>
        <v>787614.10000000009</v>
      </c>
      <c r="Y50" s="820" t="s">
        <v>836</v>
      </c>
      <c r="Z50" s="820" t="s">
        <v>836</v>
      </c>
      <c r="AA50" s="519" t="s">
        <v>1209</v>
      </c>
      <c r="AB50" s="521">
        <v>0</v>
      </c>
      <c r="AC50" s="845">
        <v>15343.1</v>
      </c>
      <c r="AD50" s="845">
        <v>537605.1</v>
      </c>
      <c r="AE50" s="521">
        <f t="shared" si="33"/>
        <v>552948.19999999995</v>
      </c>
      <c r="AF50" s="521">
        <v>0</v>
      </c>
      <c r="AG50" s="845">
        <v>1250.4000000000001</v>
      </c>
      <c r="AH50" s="845">
        <v>18779.3</v>
      </c>
      <c r="AI50" s="521">
        <f t="shared" si="34"/>
        <v>20029.7</v>
      </c>
      <c r="AJ50" s="849">
        <v>7130.6</v>
      </c>
      <c r="AK50" s="849">
        <v>157018.4</v>
      </c>
      <c r="AL50" s="732">
        <v>13569.3</v>
      </c>
      <c r="AM50" s="851">
        <f t="shared" si="35"/>
        <v>170587.69999999998</v>
      </c>
      <c r="AN50" s="521">
        <f t="shared" si="47"/>
        <v>7130.6</v>
      </c>
      <c r="AO50" s="521">
        <f t="shared" si="47"/>
        <v>173611.9</v>
      </c>
      <c r="AP50" s="521">
        <f t="shared" si="47"/>
        <v>569953.70000000007</v>
      </c>
      <c r="AQ50" s="521">
        <f t="shared" si="47"/>
        <v>743565.59999999986</v>
      </c>
      <c r="AR50" s="519" t="s">
        <v>1209</v>
      </c>
      <c r="AS50" s="845">
        <v>5604.1</v>
      </c>
      <c r="AT50" s="845">
        <v>4823.6000000000004</v>
      </c>
      <c r="AU50" s="820">
        <v>7890.2</v>
      </c>
      <c r="AV50" s="845">
        <v>217.9</v>
      </c>
      <c r="AW50" s="845">
        <f>746338.6-8.7</f>
        <v>746329.9</v>
      </c>
      <c r="AX50" s="845">
        <v>6653.4</v>
      </c>
      <c r="AY50" s="521">
        <f t="shared" si="36"/>
        <v>752983.3</v>
      </c>
      <c r="AZ50" s="521">
        <f t="shared" si="48"/>
        <v>48943.914500000006</v>
      </c>
      <c r="BA50" s="520">
        <f t="shared" si="40"/>
        <v>894.98549999999523</v>
      </c>
      <c r="BB50" s="820">
        <v>49838.9</v>
      </c>
      <c r="BC50" s="845">
        <v>1962638.4</v>
      </c>
      <c r="BD50" s="520">
        <f t="shared" si="41"/>
        <v>147992.79999999999</v>
      </c>
      <c r="BE50" s="845">
        <v>2435.4</v>
      </c>
      <c r="BF50" s="845">
        <v>8796.4</v>
      </c>
      <c r="BG50" s="845">
        <f>595.1+1565.6+1173.5</f>
        <v>3334.2</v>
      </c>
      <c r="BH50" s="845">
        <f>152424.7+3344</f>
        <v>155768.70000000001</v>
      </c>
      <c r="BI50" s="521">
        <f t="shared" si="22"/>
        <v>170334.7</v>
      </c>
      <c r="BJ50" s="519" t="s">
        <v>1209</v>
      </c>
      <c r="BK50" s="520"/>
      <c r="BL50" s="531">
        <v>-6.19</v>
      </c>
      <c r="BM50" s="531">
        <v>34.71</v>
      </c>
      <c r="BN50" s="531">
        <v>12.27</v>
      </c>
      <c r="BO50" s="531">
        <v>11.57</v>
      </c>
      <c r="BP50" s="531">
        <v>16.09</v>
      </c>
      <c r="BQ50" s="531" t="s">
        <v>836</v>
      </c>
      <c r="BR50" s="531" t="s">
        <v>836</v>
      </c>
      <c r="BS50" s="532" t="s">
        <v>836</v>
      </c>
      <c r="BT50" s="532">
        <v>9131</v>
      </c>
      <c r="BU50" s="532">
        <v>3669</v>
      </c>
      <c r="BV50" s="531">
        <f t="shared" si="23"/>
        <v>99.629614196081363</v>
      </c>
      <c r="BW50" s="531">
        <f t="shared" si="24"/>
        <v>81.735833972182675</v>
      </c>
      <c r="BX50" s="531">
        <f t="shared" si="25"/>
        <v>81.43309604643521</v>
      </c>
      <c r="BY50" s="531">
        <f t="shared" si="26"/>
        <v>8.0463076717146134</v>
      </c>
      <c r="BZ50" s="531">
        <v>5</v>
      </c>
      <c r="CA50" s="531">
        <v>6.8</v>
      </c>
      <c r="CB50" s="531">
        <v>11.67</v>
      </c>
      <c r="CC50" s="531">
        <v>4.87</v>
      </c>
      <c r="CD50" s="531">
        <v>10.61</v>
      </c>
      <c r="CE50" s="531">
        <v>15.12</v>
      </c>
      <c r="CF50" s="531">
        <v>4.51</v>
      </c>
    </row>
    <row r="51" spans="9:84" s="482" customFormat="1" ht="9.75" customHeight="1">
      <c r="I51" s="931" t="s">
        <v>2608</v>
      </c>
      <c r="J51" s="432"/>
      <c r="K51" s="1061">
        <f>K63</f>
        <v>130728.7</v>
      </c>
      <c r="L51" s="1061">
        <f t="shared" ref="L51:X51" si="49">L63</f>
        <v>1576.5</v>
      </c>
      <c r="M51" s="1061">
        <f t="shared" si="49"/>
        <v>132305.20000000001</v>
      </c>
      <c r="N51" s="1061">
        <f t="shared" si="49"/>
        <v>10230.700000000001</v>
      </c>
      <c r="O51" s="1061">
        <f t="shared" si="49"/>
        <v>122074.50000000001</v>
      </c>
      <c r="P51" s="1061">
        <f t="shared" si="49"/>
        <v>17126.2</v>
      </c>
      <c r="Q51" s="1061">
        <f t="shared" si="49"/>
        <v>55874.7</v>
      </c>
      <c r="R51" s="1061">
        <f t="shared" si="49"/>
        <v>89759.1</v>
      </c>
      <c r="S51" s="1061">
        <f t="shared" si="49"/>
        <v>703947.2</v>
      </c>
      <c r="T51" s="1061">
        <f t="shared" si="49"/>
        <v>793706.29999999993</v>
      </c>
      <c r="U51" s="1061">
        <f t="shared" si="49"/>
        <v>849580.99999999988</v>
      </c>
      <c r="V51" s="1061">
        <f t="shared" si="49"/>
        <v>597.1</v>
      </c>
      <c r="W51" s="1061">
        <f t="shared" si="49"/>
        <v>212430.70000000004</v>
      </c>
      <c r="X51" s="1061">
        <f t="shared" si="49"/>
        <v>916377.9</v>
      </c>
      <c r="Y51" s="857" t="s">
        <v>836</v>
      </c>
      <c r="Z51" s="857" t="s">
        <v>836</v>
      </c>
      <c r="AA51" s="931" t="s">
        <v>2608</v>
      </c>
      <c r="AB51" s="1061">
        <f t="shared" ref="AB51:BI51" si="50">AB63</f>
        <v>0</v>
      </c>
      <c r="AC51" s="1061">
        <f t="shared" si="50"/>
        <v>14977.5</v>
      </c>
      <c r="AD51" s="1061">
        <f t="shared" si="50"/>
        <v>627918.19999999995</v>
      </c>
      <c r="AE51" s="1061">
        <f t="shared" si="50"/>
        <v>642895.69999999995</v>
      </c>
      <c r="AF51" s="1061">
        <f t="shared" si="50"/>
        <v>0</v>
      </c>
      <c r="AG51" s="1061">
        <f t="shared" si="50"/>
        <v>1589</v>
      </c>
      <c r="AH51" s="1061">
        <f t="shared" si="50"/>
        <v>22461</v>
      </c>
      <c r="AI51" s="1061">
        <f t="shared" si="50"/>
        <v>24050</v>
      </c>
      <c r="AJ51" s="1061">
        <f t="shared" si="50"/>
        <v>8613</v>
      </c>
      <c r="AK51" s="1061">
        <f t="shared" si="50"/>
        <v>157964.29999999999</v>
      </c>
      <c r="AL51" s="1061">
        <f t="shared" si="50"/>
        <v>15663.2</v>
      </c>
      <c r="AM51" s="1061">
        <f t="shared" si="50"/>
        <v>173627.5</v>
      </c>
      <c r="AN51" s="1061">
        <f t="shared" si="50"/>
        <v>8613</v>
      </c>
      <c r="AO51" s="1061">
        <f t="shared" si="50"/>
        <v>174530.8</v>
      </c>
      <c r="AP51" s="1061">
        <f t="shared" si="50"/>
        <v>666042.39999999991</v>
      </c>
      <c r="AQ51" s="1061">
        <f t="shared" si="50"/>
        <v>840573.2</v>
      </c>
      <c r="AR51" s="931" t="s">
        <v>2608</v>
      </c>
      <c r="AS51" s="1061">
        <f t="shared" si="50"/>
        <v>5436.7</v>
      </c>
      <c r="AT51" s="1061">
        <f t="shared" si="50"/>
        <v>18388.400000000001</v>
      </c>
      <c r="AU51" s="1061">
        <f t="shared" si="50"/>
        <v>12975.5</v>
      </c>
      <c r="AV51" s="1061">
        <f t="shared" si="50"/>
        <v>50.7</v>
      </c>
      <c r="AW51" s="1061">
        <f t="shared" si="50"/>
        <v>849617.20000000007</v>
      </c>
      <c r="AX51" s="1061">
        <f t="shared" si="50"/>
        <v>6908.3</v>
      </c>
      <c r="AY51" s="1061">
        <f t="shared" si="50"/>
        <v>856525.50000000012</v>
      </c>
      <c r="AZ51" s="1061">
        <f t="shared" si="50"/>
        <v>55674.157500000008</v>
      </c>
      <c r="BA51" s="1061">
        <f t="shared" si="50"/>
        <v>4624.8424999999916</v>
      </c>
      <c r="BB51" s="1061">
        <f t="shared" si="50"/>
        <v>60299</v>
      </c>
      <c r="BC51" s="1061">
        <f t="shared" si="50"/>
        <v>2370730.1</v>
      </c>
      <c r="BD51" s="1061">
        <f t="shared" si="50"/>
        <v>192604.2</v>
      </c>
      <c r="BE51" s="1061">
        <f t="shared" si="50"/>
        <v>4000</v>
      </c>
      <c r="BF51" s="1061">
        <f t="shared" si="50"/>
        <v>15984.8</v>
      </c>
      <c r="BG51" s="1061">
        <f t="shared" si="50"/>
        <v>3911.6</v>
      </c>
      <c r="BH51" s="1061">
        <f t="shared" si="50"/>
        <v>156583.5</v>
      </c>
      <c r="BI51" s="1061">
        <f t="shared" si="50"/>
        <v>180479.9</v>
      </c>
      <c r="BJ51" s="931" t="s">
        <v>2608</v>
      </c>
      <c r="BK51" s="432"/>
      <c r="BL51" s="1060">
        <f>BL63</f>
        <v>3.59</v>
      </c>
      <c r="BM51" s="1060">
        <f>BM63</f>
        <v>-3.71</v>
      </c>
      <c r="BN51" s="1060">
        <f>BN63</f>
        <v>16.78</v>
      </c>
      <c r="BO51" s="1060">
        <f>BO63</f>
        <v>14.22</v>
      </c>
      <c r="BP51" s="1060">
        <f>BP63</f>
        <v>16.350000000000001</v>
      </c>
      <c r="BQ51" s="483" t="s">
        <v>836</v>
      </c>
      <c r="BR51" s="483" t="s">
        <v>836</v>
      </c>
      <c r="BS51" s="739" t="s">
        <v>836</v>
      </c>
      <c r="BT51" s="1458">
        <f t="shared" ref="BT51:CF51" si="51">BT63</f>
        <v>9453</v>
      </c>
      <c r="BU51" s="1458">
        <f t="shared" si="51"/>
        <v>3700</v>
      </c>
      <c r="BV51" s="1060">
        <f t="shared" si="51"/>
        <v>98.935520608575231</v>
      </c>
      <c r="BW51" s="1060">
        <f t="shared" si="51"/>
        <v>89.878049296519634</v>
      </c>
      <c r="BX51" s="1060">
        <f t="shared" si="51"/>
        <v>88.921315984343593</v>
      </c>
      <c r="BY51" s="1060">
        <f t="shared" si="51"/>
        <v>8.3013503022302277</v>
      </c>
      <c r="BZ51" s="1060">
        <f t="shared" si="51"/>
        <v>5</v>
      </c>
      <c r="CA51" s="1060">
        <f t="shared" si="51"/>
        <v>5.54</v>
      </c>
      <c r="CB51" s="1060">
        <f t="shared" si="51"/>
        <v>10.39</v>
      </c>
      <c r="CC51" s="1060">
        <f t="shared" si="51"/>
        <v>4.8499999999999996</v>
      </c>
      <c r="CD51" s="1060">
        <f t="shared" si="51"/>
        <v>8.9499999999999993</v>
      </c>
      <c r="CE51" s="1060">
        <f t="shared" si="51"/>
        <v>13.07</v>
      </c>
      <c r="CF51" s="1060">
        <f t="shared" si="51"/>
        <v>4.12</v>
      </c>
    </row>
    <row r="52" spans="9:84" s="482" customFormat="1" ht="9.75" customHeight="1">
      <c r="I52" s="519" t="s">
        <v>1211</v>
      </c>
      <c r="J52" s="520"/>
      <c r="K52" s="845">
        <v>102507.2</v>
      </c>
      <c r="L52" s="845">
        <v>802.9</v>
      </c>
      <c r="M52" s="845">
        <f t="shared" ref="M52:M62" si="52">K52+L52</f>
        <v>103310.09999999999</v>
      </c>
      <c r="N52" s="845">
        <v>9408.7000000000007</v>
      </c>
      <c r="O52" s="845">
        <f t="shared" ref="O52:O62" si="53">M52-N52</f>
        <v>93901.4</v>
      </c>
      <c r="P52" s="845">
        <v>12303.5</v>
      </c>
      <c r="Q52" s="845">
        <v>44761.8</v>
      </c>
      <c r="R52" s="845">
        <v>70229</v>
      </c>
      <c r="S52" s="820">
        <v>640066.6</v>
      </c>
      <c r="T52" s="521">
        <f t="shared" ref="T52:T62" si="54">R52+S52</f>
        <v>710295.6</v>
      </c>
      <c r="U52" s="521">
        <f t="shared" ref="U52:U62" si="55">Q52+T52</f>
        <v>755057.4</v>
      </c>
      <c r="V52" s="845">
        <v>484.6</v>
      </c>
      <c r="W52" s="521">
        <f t="shared" ref="W52:W62" si="56">O52+R52+V52</f>
        <v>164615</v>
      </c>
      <c r="X52" s="521">
        <f t="shared" ref="X52:X62" si="57">S52+W52</f>
        <v>804681.6</v>
      </c>
      <c r="Y52" s="820" t="s">
        <v>836</v>
      </c>
      <c r="Z52" s="820" t="s">
        <v>836</v>
      </c>
      <c r="AA52" s="519" t="s">
        <v>1211</v>
      </c>
      <c r="AB52" s="521">
        <v>0</v>
      </c>
      <c r="AC52" s="845">
        <v>14006.4</v>
      </c>
      <c r="AD52" s="845">
        <v>535433.5</v>
      </c>
      <c r="AE52" s="521">
        <f t="shared" ref="AE52:AE62" si="58">AC52+AD52</f>
        <v>549439.9</v>
      </c>
      <c r="AF52" s="521">
        <v>0</v>
      </c>
      <c r="AG52" s="845">
        <v>1372.7</v>
      </c>
      <c r="AH52" s="845">
        <v>19482.8</v>
      </c>
      <c r="AI52" s="521">
        <f t="shared" ref="AI52:AI62" si="59">AG52+AH52</f>
        <v>20855.5</v>
      </c>
      <c r="AJ52" s="849">
        <v>7285.3</v>
      </c>
      <c r="AK52" s="849">
        <v>164516.9</v>
      </c>
      <c r="AL52" s="732">
        <v>14144.8</v>
      </c>
      <c r="AM52" s="851">
        <f t="shared" ref="AM52:AM62" si="60">AK52+AL52</f>
        <v>178661.69999999998</v>
      </c>
      <c r="AN52" s="521">
        <f t="shared" ref="AN52:AQ56" si="61">AB52+AF52+AJ52</f>
        <v>7285.3</v>
      </c>
      <c r="AO52" s="521">
        <f t="shared" si="61"/>
        <v>179896</v>
      </c>
      <c r="AP52" s="521">
        <f t="shared" si="61"/>
        <v>569061.10000000009</v>
      </c>
      <c r="AQ52" s="521">
        <f t="shared" si="61"/>
        <v>748957.1</v>
      </c>
      <c r="AR52" s="519" t="s">
        <v>1211</v>
      </c>
      <c r="AS52" s="845">
        <v>6144.9</v>
      </c>
      <c r="AT52" s="845">
        <v>5261.2</v>
      </c>
      <c r="AU52" s="820">
        <v>8215.7000000000007</v>
      </c>
      <c r="AV52" s="845">
        <v>48.6</v>
      </c>
      <c r="AW52" s="845">
        <f>755097.8-8.7</f>
        <v>755089.10000000009</v>
      </c>
      <c r="AX52" s="845">
        <v>6890.9</v>
      </c>
      <c r="AY52" s="521">
        <f t="shared" ref="AY52:AY62" si="62">AW52+AX52</f>
        <v>761980.00000000012</v>
      </c>
      <c r="AZ52" s="521">
        <f t="shared" ref="AZ52:AZ61" si="63">0.065*AY52</f>
        <v>49528.700000000012</v>
      </c>
      <c r="BA52" s="520">
        <f t="shared" ref="BA52:BA61" si="64">BB52-AZ52</f>
        <v>2310.5999999999913</v>
      </c>
      <c r="BB52" s="820">
        <v>51839.3</v>
      </c>
      <c r="BC52" s="845">
        <v>1991775.2</v>
      </c>
      <c r="BD52" s="520">
        <f t="shared" ref="BD52:BD62" si="65">M52+BB52</f>
        <v>155149.4</v>
      </c>
      <c r="BE52" s="845">
        <v>4000</v>
      </c>
      <c r="BF52" s="845">
        <v>11095.7</v>
      </c>
      <c r="BG52" s="845">
        <f>1295+1033+1039.1</f>
        <v>3367.1</v>
      </c>
      <c r="BH52" s="845">
        <f>159403.1+3824.7</f>
        <v>163227.80000000002</v>
      </c>
      <c r="BI52" s="521">
        <f t="shared" ref="BI52:BI62" si="66">BH52+BG52+BF52+BE52</f>
        <v>181690.60000000003</v>
      </c>
      <c r="BJ52" s="519" t="s">
        <v>1211</v>
      </c>
      <c r="BK52" s="520"/>
      <c r="BL52" s="531">
        <v>10.41</v>
      </c>
      <c r="BM52" s="531">
        <v>-6.78</v>
      </c>
      <c r="BN52" s="531">
        <v>-0.16</v>
      </c>
      <c r="BO52" s="531">
        <v>1.34</v>
      </c>
      <c r="BP52" s="531">
        <v>2.17</v>
      </c>
      <c r="BQ52" s="531" t="s">
        <v>836</v>
      </c>
      <c r="BR52" s="531" t="s">
        <v>836</v>
      </c>
      <c r="BS52" s="532" t="s">
        <v>836</v>
      </c>
      <c r="BT52" s="532">
        <v>9155</v>
      </c>
      <c r="BU52" s="532">
        <v>3670</v>
      </c>
      <c r="BV52" s="531">
        <f t="shared" ref="BV52:BV57" si="67">AQ52/AW52*100</f>
        <v>99.18791040686456</v>
      </c>
      <c r="BW52" s="531">
        <f t="shared" ref="BW52:BW57" si="68">AW52/BT52</f>
        <v>82.478328782086308</v>
      </c>
      <c r="BX52" s="531">
        <f t="shared" ref="BX52:BX57" si="69">AQ52/BT52</f>
        <v>81.80853085745494</v>
      </c>
      <c r="BY52" s="531">
        <f t="shared" ref="BY52:BY57" si="70">(N52+BB52)/AW52*100</f>
        <v>8.1113606328047894</v>
      </c>
      <c r="BZ52" s="531">
        <v>5</v>
      </c>
      <c r="CA52" s="531">
        <v>6.78</v>
      </c>
      <c r="CB52" s="531">
        <v>11.57</v>
      </c>
      <c r="CC52" s="531">
        <v>4.79</v>
      </c>
      <c r="CD52" s="531">
        <v>10.54</v>
      </c>
      <c r="CE52" s="531">
        <v>14.7</v>
      </c>
      <c r="CF52" s="531">
        <v>4.16</v>
      </c>
    </row>
    <row r="53" spans="9:84" s="482" customFormat="1" ht="10.5" customHeight="1">
      <c r="I53" s="431" t="s">
        <v>1212</v>
      </c>
      <c r="J53" s="432"/>
      <c r="K53" s="852">
        <v>97803.7</v>
      </c>
      <c r="L53" s="852">
        <v>802</v>
      </c>
      <c r="M53" s="852">
        <f t="shared" si="52"/>
        <v>98605.7</v>
      </c>
      <c r="N53" s="852">
        <v>9355.4</v>
      </c>
      <c r="O53" s="852">
        <f t="shared" si="53"/>
        <v>89250.3</v>
      </c>
      <c r="P53" s="852">
        <v>11241.7</v>
      </c>
      <c r="Q53" s="852">
        <v>47070.1</v>
      </c>
      <c r="R53" s="852">
        <v>69174.399999999994</v>
      </c>
      <c r="S53" s="857">
        <v>646455.5</v>
      </c>
      <c r="T53" s="433">
        <f t="shared" si="54"/>
        <v>715629.9</v>
      </c>
      <c r="U53" s="433">
        <f t="shared" si="55"/>
        <v>762700</v>
      </c>
      <c r="V53" s="852">
        <v>497.8</v>
      </c>
      <c r="W53" s="433">
        <f t="shared" si="56"/>
        <v>158922.5</v>
      </c>
      <c r="X53" s="433">
        <f t="shared" si="57"/>
        <v>805378</v>
      </c>
      <c r="Y53" s="857" t="s">
        <v>836</v>
      </c>
      <c r="Z53" s="857" t="s">
        <v>836</v>
      </c>
      <c r="AA53" s="431" t="s">
        <v>1212</v>
      </c>
      <c r="AB53" s="433">
        <v>0</v>
      </c>
      <c r="AC53" s="852">
        <v>13920.9</v>
      </c>
      <c r="AD53" s="852">
        <v>540137.6</v>
      </c>
      <c r="AE53" s="433">
        <f t="shared" si="58"/>
        <v>554058.5</v>
      </c>
      <c r="AF53" s="433">
        <v>0</v>
      </c>
      <c r="AG53" s="852">
        <v>1319.5</v>
      </c>
      <c r="AH53" s="852">
        <v>19193</v>
      </c>
      <c r="AI53" s="433">
        <f t="shared" si="59"/>
        <v>20512.5</v>
      </c>
      <c r="AJ53" s="882">
        <v>6912.7</v>
      </c>
      <c r="AK53" s="882">
        <v>169831.7</v>
      </c>
      <c r="AL53" s="700">
        <v>14250.6</v>
      </c>
      <c r="AM53" s="824">
        <f t="shared" si="60"/>
        <v>184082.30000000002</v>
      </c>
      <c r="AN53" s="433">
        <f t="shared" si="61"/>
        <v>6912.7</v>
      </c>
      <c r="AO53" s="433">
        <f t="shared" si="61"/>
        <v>185072.1</v>
      </c>
      <c r="AP53" s="433">
        <f t="shared" si="61"/>
        <v>573581.19999999995</v>
      </c>
      <c r="AQ53" s="433">
        <f t="shared" si="61"/>
        <v>758653.3</v>
      </c>
      <c r="AR53" s="431" t="s">
        <v>1212</v>
      </c>
      <c r="AS53" s="852">
        <v>5212.8</v>
      </c>
      <c r="AT53" s="852">
        <v>4992.7</v>
      </c>
      <c r="AU53" s="857">
        <v>7750.5</v>
      </c>
      <c r="AV53" s="852">
        <v>37.6</v>
      </c>
      <c r="AW53" s="852">
        <f>762740.6-9.6</f>
        <v>762731</v>
      </c>
      <c r="AX53" s="852">
        <v>6532.6</v>
      </c>
      <c r="AY53" s="433">
        <f t="shared" si="62"/>
        <v>769263.6</v>
      </c>
      <c r="AZ53" s="433">
        <f t="shared" si="63"/>
        <v>50002.133999999998</v>
      </c>
      <c r="BA53" s="432">
        <f t="shared" si="64"/>
        <v>2728.4660000000003</v>
      </c>
      <c r="BB53" s="857">
        <v>52730.6</v>
      </c>
      <c r="BC53" s="852">
        <v>2020941.4</v>
      </c>
      <c r="BD53" s="432">
        <f t="shared" si="65"/>
        <v>151336.29999999999</v>
      </c>
      <c r="BE53" s="852">
        <v>0</v>
      </c>
      <c r="BF53" s="852">
        <v>8798</v>
      </c>
      <c r="BG53" s="852">
        <v>3017.5</v>
      </c>
      <c r="BH53" s="852">
        <v>168541.5</v>
      </c>
      <c r="BI53" s="433">
        <f t="shared" si="66"/>
        <v>180357</v>
      </c>
      <c r="BJ53" s="431" t="s">
        <v>1212</v>
      </c>
      <c r="BK53" s="432"/>
      <c r="BL53" s="483">
        <v>4.92</v>
      </c>
      <c r="BM53" s="483">
        <v>-5.89</v>
      </c>
      <c r="BN53" s="483">
        <v>0.62</v>
      </c>
      <c r="BO53" s="483">
        <v>1.1399999999999999</v>
      </c>
      <c r="BP53" s="483">
        <v>2.2599999999999998</v>
      </c>
      <c r="BQ53" s="483" t="s">
        <v>836</v>
      </c>
      <c r="BR53" s="483" t="s">
        <v>836</v>
      </c>
      <c r="BS53" s="739" t="s">
        <v>836</v>
      </c>
      <c r="BT53" s="739">
        <v>9177</v>
      </c>
      <c r="BU53" s="739">
        <v>3671</v>
      </c>
      <c r="BV53" s="483">
        <f t="shared" si="67"/>
        <v>99.465381635202974</v>
      </c>
      <c r="BW53" s="483">
        <f t="shared" si="68"/>
        <v>83.113326795248994</v>
      </c>
      <c r="BX53" s="483">
        <f t="shared" si="69"/>
        <v>82.668987686607835</v>
      </c>
      <c r="BY53" s="483">
        <f t="shared" si="70"/>
        <v>8.1399602218868772</v>
      </c>
      <c r="BZ53" s="483">
        <v>5</v>
      </c>
      <c r="CA53" s="483">
        <v>6.74</v>
      </c>
      <c r="CB53" s="483">
        <v>11.51</v>
      </c>
      <c r="CC53" s="483">
        <v>4.7699999999999996</v>
      </c>
      <c r="CD53" s="483">
        <v>10.41</v>
      </c>
      <c r="CE53" s="483">
        <v>14.52</v>
      </c>
      <c r="CF53" s="483">
        <v>4.1100000000000003</v>
      </c>
    </row>
    <row r="54" spans="9:84" s="482" customFormat="1" ht="10.5" customHeight="1">
      <c r="I54" s="519" t="s">
        <v>1206</v>
      </c>
      <c r="J54" s="520"/>
      <c r="K54" s="845">
        <v>111598.9</v>
      </c>
      <c r="L54" s="845">
        <v>804.6</v>
      </c>
      <c r="M54" s="845">
        <f t="shared" si="52"/>
        <v>112403.5</v>
      </c>
      <c r="N54" s="845">
        <v>10148.299999999999</v>
      </c>
      <c r="O54" s="845">
        <f t="shared" si="53"/>
        <v>102255.2</v>
      </c>
      <c r="P54" s="845">
        <v>11154.6</v>
      </c>
      <c r="Q54" s="845">
        <v>46330.1</v>
      </c>
      <c r="R54" s="845">
        <v>69915.7</v>
      </c>
      <c r="S54" s="820">
        <v>648804.19999999995</v>
      </c>
      <c r="T54" s="521">
        <f t="shared" si="54"/>
        <v>718719.89999999991</v>
      </c>
      <c r="U54" s="521">
        <f t="shared" si="55"/>
        <v>765049.99999999988</v>
      </c>
      <c r="V54" s="845">
        <v>498</v>
      </c>
      <c r="W54" s="521">
        <f t="shared" si="56"/>
        <v>172668.9</v>
      </c>
      <c r="X54" s="521">
        <f t="shared" si="57"/>
        <v>821473.1</v>
      </c>
      <c r="Y54" s="820" t="s">
        <v>836</v>
      </c>
      <c r="Z54" s="820" t="s">
        <v>836</v>
      </c>
      <c r="AA54" s="519" t="s">
        <v>1206</v>
      </c>
      <c r="AB54" s="521">
        <v>0</v>
      </c>
      <c r="AC54" s="845">
        <v>14422</v>
      </c>
      <c r="AD54" s="845">
        <v>549757.19999999995</v>
      </c>
      <c r="AE54" s="521">
        <f t="shared" si="58"/>
        <v>564179.19999999995</v>
      </c>
      <c r="AF54" s="521">
        <v>0</v>
      </c>
      <c r="AG54" s="845">
        <v>1434.4</v>
      </c>
      <c r="AH54" s="845">
        <v>20177.900000000001</v>
      </c>
      <c r="AI54" s="521">
        <f t="shared" si="59"/>
        <v>21612.300000000003</v>
      </c>
      <c r="AJ54" s="849">
        <v>8981.5</v>
      </c>
      <c r="AK54" s="849">
        <v>169308.7</v>
      </c>
      <c r="AL54" s="732">
        <v>15048.9</v>
      </c>
      <c r="AM54" s="851">
        <f t="shared" si="60"/>
        <v>184357.6</v>
      </c>
      <c r="AN54" s="521">
        <f t="shared" si="61"/>
        <v>8981.5</v>
      </c>
      <c r="AO54" s="521">
        <f t="shared" si="61"/>
        <v>185165.1</v>
      </c>
      <c r="AP54" s="521">
        <f t="shared" si="61"/>
        <v>584984</v>
      </c>
      <c r="AQ54" s="521">
        <f t="shared" si="61"/>
        <v>770149.1</v>
      </c>
      <c r="AR54" s="519" t="s">
        <v>1206</v>
      </c>
      <c r="AS54" s="845">
        <v>5376.1</v>
      </c>
      <c r="AT54" s="845">
        <v>5202.2</v>
      </c>
      <c r="AU54" s="820">
        <v>10062.1</v>
      </c>
      <c r="AV54" s="845">
        <v>87.6</v>
      </c>
      <c r="AW54" s="845">
        <f>765101-8.9</f>
        <v>765092.1</v>
      </c>
      <c r="AX54" s="845">
        <v>6989.6</v>
      </c>
      <c r="AY54" s="521">
        <f t="shared" si="62"/>
        <v>772081.7</v>
      </c>
      <c r="AZ54" s="521">
        <f t="shared" si="63"/>
        <v>50185.3105</v>
      </c>
      <c r="BA54" s="520">
        <f t="shared" si="64"/>
        <v>-431.1105000000025</v>
      </c>
      <c r="BB54" s="820">
        <v>49754.2</v>
      </c>
      <c r="BC54" s="845">
        <v>2053819.9</v>
      </c>
      <c r="BD54" s="520">
        <f t="shared" si="65"/>
        <v>162157.70000000001</v>
      </c>
      <c r="BE54" s="845">
        <v>0</v>
      </c>
      <c r="BF54" s="845">
        <v>8794.2999999999993</v>
      </c>
      <c r="BG54" s="845">
        <v>3494.4</v>
      </c>
      <c r="BH54" s="845">
        <v>168014.5</v>
      </c>
      <c r="BI54" s="521">
        <f t="shared" si="66"/>
        <v>180303.19999999998</v>
      </c>
      <c r="BJ54" s="519" t="s">
        <v>1206</v>
      </c>
      <c r="BK54" s="520"/>
      <c r="BL54" s="531">
        <v>7.18</v>
      </c>
      <c r="BM54" s="531">
        <v>-5.31</v>
      </c>
      <c r="BN54" s="531">
        <v>2.63</v>
      </c>
      <c r="BO54" s="531">
        <v>3.15</v>
      </c>
      <c r="BP54" s="531">
        <v>4.3</v>
      </c>
      <c r="BQ54" s="531" t="s">
        <v>836</v>
      </c>
      <c r="BR54" s="531" t="s">
        <v>836</v>
      </c>
      <c r="BS54" s="532" t="s">
        <v>836</v>
      </c>
      <c r="BT54" s="532">
        <v>9197</v>
      </c>
      <c r="BU54" s="532">
        <v>3673</v>
      </c>
      <c r="BV54" s="531">
        <f t="shared" si="67"/>
        <v>100.66096617649039</v>
      </c>
      <c r="BW54" s="531">
        <f t="shared" si="68"/>
        <v>83.189311732086551</v>
      </c>
      <c r="BX54" s="531">
        <f t="shared" si="69"/>
        <v>83.739164945090792</v>
      </c>
      <c r="BY54" s="531">
        <f t="shared" si="70"/>
        <v>7.8294495525440668</v>
      </c>
      <c r="BZ54" s="531">
        <v>5</v>
      </c>
      <c r="CA54" s="531">
        <v>6.66</v>
      </c>
      <c r="CB54" s="531">
        <v>11.48</v>
      </c>
      <c r="CC54" s="531">
        <v>4.82</v>
      </c>
      <c r="CD54" s="531">
        <v>10.34</v>
      </c>
      <c r="CE54" s="531">
        <v>14.45</v>
      </c>
      <c r="CF54" s="531">
        <v>4.1100000000000003</v>
      </c>
    </row>
    <row r="55" spans="9:84" s="482" customFormat="1" ht="10.5" customHeight="1">
      <c r="I55" s="431" t="s">
        <v>1213</v>
      </c>
      <c r="J55" s="432"/>
      <c r="K55" s="852">
        <v>101663.7</v>
      </c>
      <c r="L55" s="852">
        <v>802.8</v>
      </c>
      <c r="M55" s="852">
        <f t="shared" si="52"/>
        <v>102466.5</v>
      </c>
      <c r="N55" s="852">
        <v>8578</v>
      </c>
      <c r="O55" s="852">
        <f t="shared" si="53"/>
        <v>93888.5</v>
      </c>
      <c r="P55" s="852">
        <v>10048.6</v>
      </c>
      <c r="Q55" s="852">
        <v>49194.2</v>
      </c>
      <c r="R55" s="852">
        <v>69997</v>
      </c>
      <c r="S55" s="857">
        <v>655862.5</v>
      </c>
      <c r="T55" s="433">
        <f t="shared" si="54"/>
        <v>725859.5</v>
      </c>
      <c r="U55" s="433">
        <f t="shared" si="55"/>
        <v>775053.7</v>
      </c>
      <c r="V55" s="852">
        <v>509.1</v>
      </c>
      <c r="W55" s="433">
        <f t="shared" si="56"/>
        <v>164394.6</v>
      </c>
      <c r="X55" s="433">
        <f t="shared" si="57"/>
        <v>820257.1</v>
      </c>
      <c r="Y55" s="857" t="s">
        <v>836</v>
      </c>
      <c r="Z55" s="857" t="s">
        <v>836</v>
      </c>
      <c r="AA55" s="431" t="s">
        <v>1213</v>
      </c>
      <c r="AB55" s="433">
        <v>0</v>
      </c>
      <c r="AC55" s="852">
        <v>14861.3</v>
      </c>
      <c r="AD55" s="852">
        <v>555758.30000000005</v>
      </c>
      <c r="AE55" s="433">
        <f t="shared" si="58"/>
        <v>570619.60000000009</v>
      </c>
      <c r="AF55" s="433">
        <v>0</v>
      </c>
      <c r="AG55" s="852">
        <v>1376.7</v>
      </c>
      <c r="AH55" s="852">
        <v>19584.7</v>
      </c>
      <c r="AI55" s="433">
        <f t="shared" si="59"/>
        <v>20961.400000000001</v>
      </c>
      <c r="AJ55" s="882">
        <v>7983.3</v>
      </c>
      <c r="AK55" s="882">
        <v>167033.4</v>
      </c>
      <c r="AL55" s="700">
        <v>14558.2</v>
      </c>
      <c r="AM55" s="824">
        <f t="shared" si="60"/>
        <v>181591.6</v>
      </c>
      <c r="AN55" s="433">
        <f t="shared" si="61"/>
        <v>7983.3</v>
      </c>
      <c r="AO55" s="433">
        <f t="shared" si="61"/>
        <v>183271.4</v>
      </c>
      <c r="AP55" s="433">
        <f t="shared" si="61"/>
        <v>589901.19999999995</v>
      </c>
      <c r="AQ55" s="433">
        <f t="shared" si="61"/>
        <v>773172.60000000009</v>
      </c>
      <c r="AR55" s="431" t="s">
        <v>1213</v>
      </c>
      <c r="AS55" s="852">
        <v>5305.9</v>
      </c>
      <c r="AT55" s="852">
        <v>5199.6000000000004</v>
      </c>
      <c r="AU55" s="857">
        <v>7721.8</v>
      </c>
      <c r="AV55" s="852">
        <v>37.6</v>
      </c>
      <c r="AW55" s="852">
        <f>775104.7-10.2</f>
        <v>775094.5</v>
      </c>
      <c r="AX55" s="852">
        <v>6523.8</v>
      </c>
      <c r="AY55" s="433">
        <f t="shared" si="62"/>
        <v>781618.3</v>
      </c>
      <c r="AZ55" s="433">
        <f t="shared" si="63"/>
        <v>50805.189500000008</v>
      </c>
      <c r="BA55" s="432">
        <f t="shared" si="64"/>
        <v>10218.910499999991</v>
      </c>
      <c r="BB55" s="857">
        <v>61024.1</v>
      </c>
      <c r="BC55" s="852">
        <v>2092935.8</v>
      </c>
      <c r="BD55" s="432">
        <f t="shared" si="65"/>
        <v>163490.6</v>
      </c>
      <c r="BE55" s="852">
        <v>0</v>
      </c>
      <c r="BF55" s="852">
        <v>8795.1</v>
      </c>
      <c r="BG55" s="852">
        <v>3509.7</v>
      </c>
      <c r="BH55" s="852">
        <v>165739.1</v>
      </c>
      <c r="BI55" s="433">
        <f t="shared" si="66"/>
        <v>178043.90000000002</v>
      </c>
      <c r="BJ55" s="431" t="s">
        <v>1213</v>
      </c>
      <c r="BK55" s="432"/>
      <c r="BL55" s="483">
        <v>2.15</v>
      </c>
      <c r="BM55" s="483">
        <v>-3.14</v>
      </c>
      <c r="BN55" s="483">
        <v>3.49</v>
      </c>
      <c r="BO55" s="483">
        <v>3.13</v>
      </c>
      <c r="BP55" s="483">
        <v>4.1399999999999997</v>
      </c>
      <c r="BQ55" s="483" t="s">
        <v>836</v>
      </c>
      <c r="BR55" s="483" t="s">
        <v>836</v>
      </c>
      <c r="BS55" s="739" t="s">
        <v>836</v>
      </c>
      <c r="BT55" s="739">
        <v>9219</v>
      </c>
      <c r="BU55" s="739">
        <v>3673</v>
      </c>
      <c r="BV55" s="483">
        <f t="shared" si="67"/>
        <v>99.752043137965771</v>
      </c>
      <c r="BW55" s="483">
        <f t="shared" si="68"/>
        <v>84.075767436815269</v>
      </c>
      <c r="BX55" s="483">
        <f t="shared" si="69"/>
        <v>83.867295802147751</v>
      </c>
      <c r="BY55" s="483">
        <f t="shared" si="70"/>
        <v>8.9798211701927961</v>
      </c>
      <c r="BZ55" s="483">
        <v>5</v>
      </c>
      <c r="CA55" s="483">
        <v>6.58</v>
      </c>
      <c r="CB55" s="483">
        <v>11.35</v>
      </c>
      <c r="CC55" s="483">
        <v>4.7699999999999996</v>
      </c>
      <c r="CD55" s="483">
        <v>10.16</v>
      </c>
      <c r="CE55" s="483">
        <v>14.32</v>
      </c>
      <c r="CF55" s="483">
        <v>4.16</v>
      </c>
    </row>
    <row r="56" spans="9:84" s="482" customFormat="1" ht="10.5" customHeight="1">
      <c r="I56" s="519" t="s">
        <v>1214</v>
      </c>
      <c r="J56" s="520"/>
      <c r="K56" s="845">
        <v>99915.5</v>
      </c>
      <c r="L56" s="845">
        <v>800.8</v>
      </c>
      <c r="M56" s="845">
        <f t="shared" si="52"/>
        <v>100716.3</v>
      </c>
      <c r="N56" s="845">
        <v>9161.6</v>
      </c>
      <c r="O56" s="845">
        <f t="shared" si="53"/>
        <v>91554.7</v>
      </c>
      <c r="P56" s="845">
        <v>9574.2999999999993</v>
      </c>
      <c r="Q56" s="845">
        <v>49998.7</v>
      </c>
      <c r="R56" s="845">
        <v>71131.399999999994</v>
      </c>
      <c r="S56" s="845">
        <v>661983</v>
      </c>
      <c r="T56" s="521">
        <f t="shared" si="54"/>
        <v>733114.4</v>
      </c>
      <c r="U56" s="521">
        <f t="shared" si="55"/>
        <v>783113.1</v>
      </c>
      <c r="V56" s="845">
        <v>512.9</v>
      </c>
      <c r="W56" s="521">
        <f t="shared" si="56"/>
        <v>163198.99999999997</v>
      </c>
      <c r="X56" s="521">
        <f t="shared" si="57"/>
        <v>825182</v>
      </c>
      <c r="Y56" s="820" t="s">
        <v>836</v>
      </c>
      <c r="Z56" s="820" t="s">
        <v>836</v>
      </c>
      <c r="AA56" s="519" t="s">
        <v>1214</v>
      </c>
      <c r="AB56" s="521">
        <v>0</v>
      </c>
      <c r="AC56" s="845">
        <v>14774.1</v>
      </c>
      <c r="AD56" s="845">
        <v>565375.1</v>
      </c>
      <c r="AE56" s="521">
        <f t="shared" si="58"/>
        <v>580149.19999999995</v>
      </c>
      <c r="AF56" s="521">
        <v>0</v>
      </c>
      <c r="AG56" s="845">
        <v>1356.7</v>
      </c>
      <c r="AH56" s="845">
        <v>19077.8</v>
      </c>
      <c r="AI56" s="521">
        <f t="shared" si="59"/>
        <v>20434.5</v>
      </c>
      <c r="AJ56" s="849">
        <v>10124.200000000001</v>
      </c>
      <c r="AK56" s="849">
        <v>164531</v>
      </c>
      <c r="AL56" s="732">
        <v>14652.4</v>
      </c>
      <c r="AM56" s="851">
        <f t="shared" si="60"/>
        <v>179183.4</v>
      </c>
      <c r="AN56" s="521">
        <f t="shared" si="61"/>
        <v>10124.200000000001</v>
      </c>
      <c r="AO56" s="521">
        <f t="shared" si="61"/>
        <v>180661.8</v>
      </c>
      <c r="AP56" s="521">
        <f t="shared" si="61"/>
        <v>599105.30000000005</v>
      </c>
      <c r="AQ56" s="521">
        <f t="shared" si="61"/>
        <v>779767.1</v>
      </c>
      <c r="AR56" s="519" t="s">
        <v>1214</v>
      </c>
      <c r="AS56" s="845">
        <v>4836.3999999999996</v>
      </c>
      <c r="AT56" s="845">
        <v>5166.8999999999996</v>
      </c>
      <c r="AU56" s="820">
        <v>11382.8</v>
      </c>
      <c r="AV56" s="845">
        <v>37.6</v>
      </c>
      <c r="AW56" s="845">
        <f>783163.9-12.3</f>
        <v>783151.6</v>
      </c>
      <c r="AX56" s="845">
        <v>6446.9</v>
      </c>
      <c r="AY56" s="521">
        <f t="shared" si="62"/>
        <v>789598.5</v>
      </c>
      <c r="AZ56" s="521">
        <f t="shared" si="63"/>
        <v>51323.902500000004</v>
      </c>
      <c r="BA56" s="520">
        <f t="shared" si="64"/>
        <v>5097.3974999999991</v>
      </c>
      <c r="BB56" s="820">
        <v>56421.3</v>
      </c>
      <c r="BC56" s="845">
        <v>2175033.6</v>
      </c>
      <c r="BD56" s="520">
        <f t="shared" si="65"/>
        <v>157137.60000000001</v>
      </c>
      <c r="BE56" s="845">
        <v>0</v>
      </c>
      <c r="BF56" s="845">
        <v>8795.7000000000007</v>
      </c>
      <c r="BG56" s="845">
        <v>3297.2</v>
      </c>
      <c r="BH56" s="845">
        <v>163237.70000000001</v>
      </c>
      <c r="BI56" s="521">
        <f t="shared" si="66"/>
        <v>175330.60000000003</v>
      </c>
      <c r="BJ56" s="519" t="s">
        <v>1214</v>
      </c>
      <c r="BK56" s="520"/>
      <c r="BL56" s="531">
        <v>-0.13</v>
      </c>
      <c r="BM56" s="531">
        <v>-2.56</v>
      </c>
      <c r="BN56" s="531">
        <v>5.0999999999999996</v>
      </c>
      <c r="BO56" s="531">
        <v>4.0999999999999996</v>
      </c>
      <c r="BP56" s="531">
        <v>4.7699999999999996</v>
      </c>
      <c r="BQ56" s="531" t="s">
        <v>836</v>
      </c>
      <c r="BR56" s="531" t="s">
        <v>836</v>
      </c>
      <c r="BS56" s="532" t="s">
        <v>836</v>
      </c>
      <c r="BT56" s="532">
        <v>9271</v>
      </c>
      <c r="BU56" s="532">
        <v>3679</v>
      </c>
      <c r="BV56" s="531">
        <f t="shared" si="67"/>
        <v>99.567835908143451</v>
      </c>
      <c r="BW56" s="531">
        <f t="shared" si="68"/>
        <v>84.473260705425517</v>
      </c>
      <c r="BX56" s="531">
        <f t="shared" si="69"/>
        <v>84.108197605436303</v>
      </c>
      <c r="BY56" s="531">
        <f t="shared" si="70"/>
        <v>8.3742279272621047</v>
      </c>
      <c r="BZ56" s="531">
        <v>5</v>
      </c>
      <c r="CA56" s="531">
        <v>6.46</v>
      </c>
      <c r="CB56" s="531">
        <v>11.27</v>
      </c>
      <c r="CC56" s="531">
        <v>4.8099999999999996</v>
      </c>
      <c r="CD56" s="531">
        <v>10.02</v>
      </c>
      <c r="CE56" s="531">
        <v>14.16</v>
      </c>
      <c r="CF56" s="531">
        <v>4.1399999999999997</v>
      </c>
    </row>
    <row r="57" spans="9:84" s="482" customFormat="1" ht="10.5" customHeight="1">
      <c r="I57" s="431" t="s">
        <v>1207</v>
      </c>
      <c r="J57" s="432"/>
      <c r="K57" s="852">
        <v>100513.1</v>
      </c>
      <c r="L57" s="852">
        <v>797.6</v>
      </c>
      <c r="M57" s="852">
        <f t="shared" si="52"/>
        <v>101310.70000000001</v>
      </c>
      <c r="N57" s="852">
        <v>8765.4</v>
      </c>
      <c r="O57" s="852">
        <f t="shared" si="53"/>
        <v>92545.300000000017</v>
      </c>
      <c r="P57" s="852">
        <v>14008.9</v>
      </c>
      <c r="Q57" s="852">
        <v>51916.4</v>
      </c>
      <c r="R57" s="852">
        <v>75228.2</v>
      </c>
      <c r="S57" s="857">
        <v>669794.9</v>
      </c>
      <c r="T57" s="433">
        <f t="shared" si="54"/>
        <v>745023.1</v>
      </c>
      <c r="U57" s="433">
        <f t="shared" si="55"/>
        <v>796939.5</v>
      </c>
      <c r="V57" s="852">
        <v>545.79999999999995</v>
      </c>
      <c r="W57" s="433">
        <f t="shared" si="56"/>
        <v>168319.3</v>
      </c>
      <c r="X57" s="433">
        <f t="shared" si="57"/>
        <v>838114.2</v>
      </c>
      <c r="Y57" s="857" t="s">
        <v>836</v>
      </c>
      <c r="Z57" s="857" t="s">
        <v>836</v>
      </c>
      <c r="AA57" s="431" t="s">
        <v>1207</v>
      </c>
      <c r="AB57" s="433">
        <v>0</v>
      </c>
      <c r="AC57" s="852">
        <v>14876.6</v>
      </c>
      <c r="AD57" s="852">
        <v>582754</v>
      </c>
      <c r="AE57" s="433">
        <f t="shared" si="58"/>
        <v>597630.6</v>
      </c>
      <c r="AF57" s="433">
        <v>0</v>
      </c>
      <c r="AG57" s="852">
        <v>1221.7</v>
      </c>
      <c r="AH57" s="852">
        <v>18621.2</v>
      </c>
      <c r="AI57" s="433">
        <f t="shared" si="59"/>
        <v>19842.900000000001</v>
      </c>
      <c r="AJ57" s="882">
        <v>10017.6</v>
      </c>
      <c r="AK57" s="882">
        <v>159876.79999999999</v>
      </c>
      <c r="AL57" s="700">
        <v>14241.2</v>
      </c>
      <c r="AM57" s="824">
        <f t="shared" si="60"/>
        <v>174118</v>
      </c>
      <c r="AN57" s="433">
        <f t="shared" ref="AN57:AQ60" si="71">AB57+AF57+AJ57</f>
        <v>10017.6</v>
      </c>
      <c r="AO57" s="433">
        <f t="shared" si="71"/>
        <v>175975.09999999998</v>
      </c>
      <c r="AP57" s="433">
        <f t="shared" si="71"/>
        <v>615616.39999999991</v>
      </c>
      <c r="AQ57" s="433">
        <f t="shared" si="71"/>
        <v>791591.5</v>
      </c>
      <c r="AR57" s="431" t="s">
        <v>1207</v>
      </c>
      <c r="AS57" s="852">
        <v>5308.6</v>
      </c>
      <c r="AT57" s="852">
        <v>5109</v>
      </c>
      <c r="AU57" s="857">
        <v>10654.3</v>
      </c>
      <c r="AV57" s="852">
        <v>37.6</v>
      </c>
      <c r="AW57" s="852">
        <f>796990.5-13.6</f>
        <v>796976.9</v>
      </c>
      <c r="AX57" s="852">
        <v>6546.6</v>
      </c>
      <c r="AY57" s="433">
        <f t="shared" si="62"/>
        <v>803523.5</v>
      </c>
      <c r="AZ57" s="433">
        <f t="shared" si="63"/>
        <v>52229.027500000004</v>
      </c>
      <c r="BA57" s="432">
        <f t="shared" si="64"/>
        <v>6129.2724999999991</v>
      </c>
      <c r="BB57" s="857">
        <v>58358.3</v>
      </c>
      <c r="BC57" s="852">
        <v>2134852.1</v>
      </c>
      <c r="BD57" s="432">
        <f t="shared" si="65"/>
        <v>159669</v>
      </c>
      <c r="BE57" s="852">
        <v>0</v>
      </c>
      <c r="BF57" s="852">
        <v>9626.1</v>
      </c>
      <c r="BG57" s="852">
        <v>2925.5</v>
      </c>
      <c r="BH57" s="852">
        <v>158510.70000000001</v>
      </c>
      <c r="BI57" s="433">
        <f t="shared" si="66"/>
        <v>171062.30000000002</v>
      </c>
      <c r="BJ57" s="431" t="s">
        <v>1207</v>
      </c>
      <c r="BK57" s="432"/>
      <c r="BL57" s="483">
        <v>-6.14</v>
      </c>
      <c r="BM57" s="483">
        <v>-0.13</v>
      </c>
      <c r="BN57" s="483">
        <v>7.99</v>
      </c>
      <c r="BO57" s="483">
        <v>5.58</v>
      </c>
      <c r="BP57" s="483">
        <v>6.41</v>
      </c>
      <c r="BQ57" s="483" t="s">
        <v>836</v>
      </c>
      <c r="BR57" s="483" t="s">
        <v>836</v>
      </c>
      <c r="BS57" s="739" t="s">
        <v>836</v>
      </c>
      <c r="BT57" s="739">
        <v>9397</v>
      </c>
      <c r="BU57" s="739">
        <v>3690</v>
      </c>
      <c r="BV57" s="483">
        <f t="shared" si="67"/>
        <v>99.324271506489083</v>
      </c>
      <c r="BW57" s="483">
        <f t="shared" si="68"/>
        <v>84.811844205597538</v>
      </c>
      <c r="BX57" s="483">
        <f t="shared" si="69"/>
        <v>84.238746408428227</v>
      </c>
      <c r="BY57" s="483">
        <f t="shared" si="70"/>
        <v>8.4222892783969012</v>
      </c>
      <c r="BZ57" s="483">
        <v>5</v>
      </c>
      <c r="CA57" s="483">
        <v>6.34</v>
      </c>
      <c r="CB57" s="483">
        <v>11.18</v>
      </c>
      <c r="CC57" s="483">
        <v>4.84</v>
      </c>
      <c r="CD57" s="483">
        <v>9.8699999999999992</v>
      </c>
      <c r="CE57" s="483">
        <v>14.03</v>
      </c>
      <c r="CF57" s="483">
        <v>4.16</v>
      </c>
    </row>
    <row r="58" spans="9:84" s="482" customFormat="1" ht="12.75" customHeight="1">
      <c r="I58" s="519" t="s">
        <v>1215</v>
      </c>
      <c r="J58" s="520"/>
      <c r="K58" s="845">
        <v>101705</v>
      </c>
      <c r="L58" s="845">
        <v>794.4</v>
      </c>
      <c r="M58" s="845">
        <f t="shared" si="52"/>
        <v>102499.4</v>
      </c>
      <c r="N58" s="845">
        <v>9829.7000000000007</v>
      </c>
      <c r="O58" s="845">
        <f t="shared" si="53"/>
        <v>92669.7</v>
      </c>
      <c r="P58" s="845">
        <v>12739.9</v>
      </c>
      <c r="Q58" s="845">
        <v>50370.9</v>
      </c>
      <c r="R58" s="845">
        <v>73565.899999999994</v>
      </c>
      <c r="S58" s="820">
        <v>667740.30000000005</v>
      </c>
      <c r="T58" s="521">
        <f t="shared" si="54"/>
        <v>741306.20000000007</v>
      </c>
      <c r="U58" s="521">
        <f t="shared" si="55"/>
        <v>791677.10000000009</v>
      </c>
      <c r="V58" s="845">
        <v>525.20000000000005</v>
      </c>
      <c r="W58" s="521">
        <f t="shared" si="56"/>
        <v>166760.79999999999</v>
      </c>
      <c r="X58" s="521">
        <f t="shared" si="57"/>
        <v>834501.10000000009</v>
      </c>
      <c r="Y58" s="820" t="s">
        <v>836</v>
      </c>
      <c r="Z58" s="820" t="s">
        <v>836</v>
      </c>
      <c r="AA58" s="519" t="s">
        <v>1215</v>
      </c>
      <c r="AB58" s="521">
        <v>0</v>
      </c>
      <c r="AC58" s="845">
        <v>16427.8</v>
      </c>
      <c r="AD58" s="845">
        <v>585259.4</v>
      </c>
      <c r="AE58" s="521">
        <f t="shared" si="58"/>
        <v>601687.20000000007</v>
      </c>
      <c r="AF58" s="521">
        <v>0</v>
      </c>
      <c r="AG58" s="845">
        <v>1374.5</v>
      </c>
      <c r="AH58" s="845">
        <v>17926</v>
      </c>
      <c r="AI58" s="521">
        <f t="shared" si="59"/>
        <v>19300.5</v>
      </c>
      <c r="AJ58" s="849">
        <v>9055.2000000000007</v>
      </c>
      <c r="AK58" s="849">
        <v>156276.6</v>
      </c>
      <c r="AL58" s="732">
        <v>14163.9</v>
      </c>
      <c r="AM58" s="851">
        <f t="shared" si="60"/>
        <v>170440.5</v>
      </c>
      <c r="AN58" s="521">
        <f t="shared" si="71"/>
        <v>9055.2000000000007</v>
      </c>
      <c r="AO58" s="521">
        <f t="shared" si="71"/>
        <v>174078.9</v>
      </c>
      <c r="AP58" s="521">
        <f t="shared" si="71"/>
        <v>617349.30000000005</v>
      </c>
      <c r="AQ58" s="521">
        <f t="shared" si="71"/>
        <v>791428.20000000007</v>
      </c>
      <c r="AR58" s="519" t="s">
        <v>1215</v>
      </c>
      <c r="AS58" s="845">
        <v>4724.3999999999996</v>
      </c>
      <c r="AT58" s="845">
        <v>15077.8</v>
      </c>
      <c r="AU58" s="820">
        <v>11355.8</v>
      </c>
      <c r="AV58" s="845">
        <v>37.799999999999997</v>
      </c>
      <c r="AW58" s="845">
        <f>791726.7-12.7</f>
        <v>791714</v>
      </c>
      <c r="AX58" s="845">
        <v>6716.1</v>
      </c>
      <c r="AY58" s="521">
        <f t="shared" si="62"/>
        <v>798430.1</v>
      </c>
      <c r="AZ58" s="521">
        <f t="shared" si="63"/>
        <v>51897.9565</v>
      </c>
      <c r="BA58" s="520">
        <f t="shared" si="64"/>
        <v>6845.8435000000027</v>
      </c>
      <c r="BB58" s="820">
        <v>58743.8</v>
      </c>
      <c r="BC58" s="845">
        <v>2149911.7999999998</v>
      </c>
      <c r="BD58" s="520">
        <f t="shared" si="65"/>
        <v>161243.20000000001</v>
      </c>
      <c r="BE58" s="845">
        <v>0</v>
      </c>
      <c r="BF58" s="845">
        <v>10715.5</v>
      </c>
      <c r="BG58" s="845">
        <v>3472.5</v>
      </c>
      <c r="BH58" s="845">
        <v>154904</v>
      </c>
      <c r="BI58" s="521">
        <f t="shared" si="66"/>
        <v>169092</v>
      </c>
      <c r="BJ58" s="519" t="s">
        <v>1215</v>
      </c>
      <c r="BK58" s="520"/>
      <c r="BL58" s="531">
        <v>-9.2200000000000006</v>
      </c>
      <c r="BM58" s="531">
        <v>6.8</v>
      </c>
      <c r="BN58" s="531">
        <v>8.2799999999999994</v>
      </c>
      <c r="BO58" s="531">
        <v>5.5</v>
      </c>
      <c r="BP58" s="531">
        <v>5.95</v>
      </c>
      <c r="BQ58" s="531" t="s">
        <v>836</v>
      </c>
      <c r="BR58" s="531" t="s">
        <v>836</v>
      </c>
      <c r="BS58" s="532" t="s">
        <v>836</v>
      </c>
      <c r="BT58" s="532">
        <v>9398</v>
      </c>
      <c r="BU58" s="532">
        <v>3690</v>
      </c>
      <c r="BV58" s="531">
        <f t="shared" ref="BV58:BV63" si="72">AQ58/AW58*100</f>
        <v>99.96390110570232</v>
      </c>
      <c r="BW58" s="531">
        <f t="shared" ref="BW58:BW63" si="73">AW58/BT58</f>
        <v>84.242817620770381</v>
      </c>
      <c r="BX58" s="531">
        <f t="shared" ref="BX58:BX63" si="74">AQ58/BT58</f>
        <v>84.212406895084072</v>
      </c>
      <c r="BY58" s="531">
        <f t="shared" ref="BY58:BY63" si="75">(N58+BB58)/AW58*100</f>
        <v>8.6613979290501373</v>
      </c>
      <c r="BZ58" s="531">
        <v>5</v>
      </c>
      <c r="CA58" s="531">
        <v>6.21</v>
      </c>
      <c r="CB58" s="531">
        <v>11.05</v>
      </c>
      <c r="CC58" s="531">
        <v>4.84</v>
      </c>
      <c r="CD58" s="531">
        <v>9.7200000000000006</v>
      </c>
      <c r="CE58" s="531">
        <v>13.9</v>
      </c>
      <c r="CF58" s="531">
        <v>4.18</v>
      </c>
    </row>
    <row r="59" spans="9:84" s="482" customFormat="1" ht="12.75" customHeight="1">
      <c r="I59" s="431" t="s">
        <v>1216</v>
      </c>
      <c r="J59" s="432"/>
      <c r="K59" s="852">
        <v>102973.1</v>
      </c>
      <c r="L59" s="852">
        <v>791.7</v>
      </c>
      <c r="M59" s="852">
        <f t="shared" si="52"/>
        <v>103764.8</v>
      </c>
      <c r="N59" s="852">
        <v>9627.4</v>
      </c>
      <c r="O59" s="852">
        <f t="shared" si="53"/>
        <v>94137.400000000009</v>
      </c>
      <c r="P59" s="852">
        <v>12986.7</v>
      </c>
      <c r="Q59" s="852">
        <v>49137.599999999999</v>
      </c>
      <c r="R59" s="852">
        <v>74296.5</v>
      </c>
      <c r="S59" s="857">
        <v>676038.7</v>
      </c>
      <c r="T59" s="433">
        <f t="shared" si="54"/>
        <v>750335.2</v>
      </c>
      <c r="U59" s="433">
        <f t="shared" si="55"/>
        <v>799472.79999999993</v>
      </c>
      <c r="V59" s="852">
        <v>563.29999999999995</v>
      </c>
      <c r="W59" s="433">
        <f t="shared" si="56"/>
        <v>168997.2</v>
      </c>
      <c r="X59" s="433">
        <f t="shared" si="57"/>
        <v>845035.89999999991</v>
      </c>
      <c r="Y59" s="857" t="s">
        <v>836</v>
      </c>
      <c r="Z59" s="857" t="s">
        <v>836</v>
      </c>
      <c r="AA59" s="431" t="s">
        <v>1216</v>
      </c>
      <c r="AB59" s="433">
        <v>0</v>
      </c>
      <c r="AC59" s="852">
        <v>15573.9</v>
      </c>
      <c r="AD59" s="852">
        <v>589432.19999999995</v>
      </c>
      <c r="AE59" s="433">
        <f t="shared" si="58"/>
        <v>605006.1</v>
      </c>
      <c r="AF59" s="433">
        <v>0</v>
      </c>
      <c r="AG59" s="852">
        <v>1405.3</v>
      </c>
      <c r="AH59" s="852">
        <v>19455.099999999999</v>
      </c>
      <c r="AI59" s="433">
        <f t="shared" si="59"/>
        <v>20860.399999999998</v>
      </c>
      <c r="AJ59" s="882">
        <v>9597.9</v>
      </c>
      <c r="AK59" s="882">
        <v>151757.70000000001</v>
      </c>
      <c r="AL59" s="700">
        <v>14249.8</v>
      </c>
      <c r="AM59" s="824">
        <f t="shared" si="60"/>
        <v>166007.5</v>
      </c>
      <c r="AN59" s="433">
        <f t="shared" si="71"/>
        <v>9597.9</v>
      </c>
      <c r="AO59" s="433">
        <f t="shared" ref="AO59:AQ60" si="76">AC59+AG59+AK59</f>
        <v>168736.90000000002</v>
      </c>
      <c r="AP59" s="433">
        <f t="shared" si="76"/>
        <v>623137.1</v>
      </c>
      <c r="AQ59" s="433">
        <f t="shared" si="76"/>
        <v>791874</v>
      </c>
      <c r="AR59" s="431" t="s">
        <v>1216</v>
      </c>
      <c r="AS59" s="852">
        <v>4727.8</v>
      </c>
      <c r="AT59" s="852">
        <v>15991.8</v>
      </c>
      <c r="AU59" s="857">
        <v>11426.1</v>
      </c>
      <c r="AV59" s="852">
        <v>56.5</v>
      </c>
      <c r="AW59" s="852">
        <f>799522.2-14.5</f>
        <v>799507.7</v>
      </c>
      <c r="AX59" s="852">
        <v>6615.7</v>
      </c>
      <c r="AY59" s="433">
        <f t="shared" si="62"/>
        <v>806123.39999999991</v>
      </c>
      <c r="AZ59" s="433">
        <f t="shared" si="63"/>
        <v>52398.020999999993</v>
      </c>
      <c r="BA59" s="432">
        <f t="shared" si="64"/>
        <v>4996.8790000000081</v>
      </c>
      <c r="BB59" s="857">
        <v>57394.9</v>
      </c>
      <c r="BC59" s="852">
        <v>2179153</v>
      </c>
      <c r="BD59" s="432">
        <f t="shared" si="65"/>
        <v>161159.70000000001</v>
      </c>
      <c r="BE59" s="852">
        <v>0</v>
      </c>
      <c r="BF59" s="852">
        <v>10716.9</v>
      </c>
      <c r="BG59" s="852">
        <v>3413.4</v>
      </c>
      <c r="BH59" s="852">
        <v>150385</v>
      </c>
      <c r="BI59" s="433">
        <f t="shared" si="66"/>
        <v>164515.29999999999</v>
      </c>
      <c r="BJ59" s="431" t="s">
        <v>1216</v>
      </c>
      <c r="BK59" s="432"/>
      <c r="BL59" s="483">
        <v>-6.86</v>
      </c>
      <c r="BM59" s="483">
        <v>2.1</v>
      </c>
      <c r="BN59" s="483">
        <v>9.2899999999999991</v>
      </c>
      <c r="BO59" s="483">
        <v>6.58</v>
      </c>
      <c r="BP59" s="483">
        <v>7.29</v>
      </c>
      <c r="BQ59" s="483" t="s">
        <v>836</v>
      </c>
      <c r="BR59" s="483" t="s">
        <v>836</v>
      </c>
      <c r="BS59" s="739" t="s">
        <v>836</v>
      </c>
      <c r="BT59" s="739">
        <v>9402</v>
      </c>
      <c r="BU59" s="739">
        <v>3690</v>
      </c>
      <c r="BV59" s="483">
        <f t="shared" si="72"/>
        <v>99.045199939913033</v>
      </c>
      <c r="BW59" s="483">
        <f t="shared" si="73"/>
        <v>85.035917889810676</v>
      </c>
      <c r="BX59" s="483">
        <f t="shared" si="74"/>
        <v>84.223994894703253</v>
      </c>
      <c r="BY59" s="483">
        <f t="shared" si="75"/>
        <v>8.3829461554904352</v>
      </c>
      <c r="BZ59" s="483">
        <v>5</v>
      </c>
      <c r="CA59" s="483">
        <v>6.1</v>
      </c>
      <c r="CB59" s="483">
        <v>10.91</v>
      </c>
      <c r="CC59" s="483">
        <v>4.8099999999999996</v>
      </c>
      <c r="CD59" s="483">
        <v>9.5500000000000007</v>
      </c>
      <c r="CE59" s="483">
        <v>13.72</v>
      </c>
      <c r="CF59" s="483">
        <v>4.17</v>
      </c>
    </row>
    <row r="60" spans="9:84" s="482" customFormat="1" ht="12.75" customHeight="1">
      <c r="I60" s="519" t="s">
        <v>1208</v>
      </c>
      <c r="J60" s="520"/>
      <c r="K60" s="845">
        <v>104247.9</v>
      </c>
      <c r="L60" s="845">
        <v>788.8</v>
      </c>
      <c r="M60" s="845">
        <f t="shared" si="52"/>
        <v>105036.7</v>
      </c>
      <c r="N60" s="845">
        <v>8440.5</v>
      </c>
      <c r="O60" s="845">
        <f t="shared" si="53"/>
        <v>96596.2</v>
      </c>
      <c r="P60" s="845">
        <v>11686.5</v>
      </c>
      <c r="Q60" s="845">
        <v>52193.5</v>
      </c>
      <c r="R60" s="845">
        <v>74303.8</v>
      </c>
      <c r="S60" s="820">
        <v>681687.6</v>
      </c>
      <c r="T60" s="521">
        <f t="shared" si="54"/>
        <v>755991.4</v>
      </c>
      <c r="U60" s="521">
        <f t="shared" si="55"/>
        <v>808184.9</v>
      </c>
      <c r="V60" s="845">
        <v>597.20000000000005</v>
      </c>
      <c r="W60" s="521">
        <f t="shared" si="56"/>
        <v>171497.2</v>
      </c>
      <c r="X60" s="521">
        <f t="shared" si="57"/>
        <v>853184.8</v>
      </c>
      <c r="Y60" s="820" t="s">
        <v>836</v>
      </c>
      <c r="Z60" s="820" t="s">
        <v>836</v>
      </c>
      <c r="AA60" s="519" t="s">
        <v>1208</v>
      </c>
      <c r="AB60" s="521">
        <v>0</v>
      </c>
      <c r="AC60" s="845">
        <v>15828.5</v>
      </c>
      <c r="AD60" s="845">
        <v>597031.19999999995</v>
      </c>
      <c r="AE60" s="521">
        <f t="shared" si="58"/>
        <v>612859.69999999995</v>
      </c>
      <c r="AF60" s="521">
        <v>0</v>
      </c>
      <c r="AG60" s="845">
        <v>1401.8</v>
      </c>
      <c r="AH60" s="845">
        <v>20101.599999999999</v>
      </c>
      <c r="AI60" s="521">
        <f t="shared" si="59"/>
        <v>21503.399999999998</v>
      </c>
      <c r="AJ60" s="849">
        <v>10192.5</v>
      </c>
      <c r="AK60" s="849">
        <v>148941.29999999999</v>
      </c>
      <c r="AL60" s="732">
        <v>14495.8</v>
      </c>
      <c r="AM60" s="851">
        <f t="shared" si="60"/>
        <v>163437.09999999998</v>
      </c>
      <c r="AN60" s="521">
        <f t="shared" si="71"/>
        <v>10192.5</v>
      </c>
      <c r="AO60" s="521">
        <f t="shared" si="76"/>
        <v>166171.59999999998</v>
      </c>
      <c r="AP60" s="521">
        <f t="shared" si="76"/>
        <v>631628.6</v>
      </c>
      <c r="AQ60" s="521">
        <f t="shared" si="76"/>
        <v>797800.2</v>
      </c>
      <c r="AR60" s="519" t="s">
        <v>1208</v>
      </c>
      <c r="AS60" s="845">
        <v>5269.2</v>
      </c>
      <c r="AT60" s="845">
        <v>16992.7</v>
      </c>
      <c r="AU60" s="820">
        <v>13739.2</v>
      </c>
      <c r="AV60" s="845">
        <v>52.3</v>
      </c>
      <c r="AW60" s="845">
        <f>808233.9-14.1</f>
        <v>808219.8</v>
      </c>
      <c r="AX60" s="845">
        <v>7096.7</v>
      </c>
      <c r="AY60" s="521">
        <f t="shared" si="62"/>
        <v>815316.5</v>
      </c>
      <c r="AZ60" s="521">
        <f t="shared" si="63"/>
        <v>52995.572500000002</v>
      </c>
      <c r="BA60" s="520">
        <f t="shared" si="64"/>
        <v>3252.2275000000009</v>
      </c>
      <c r="BB60" s="820">
        <v>56247.8</v>
      </c>
      <c r="BC60" s="845">
        <v>2221508.1</v>
      </c>
      <c r="BD60" s="520">
        <f t="shared" si="65"/>
        <v>161284.5</v>
      </c>
      <c r="BE60" s="845">
        <v>1604.3</v>
      </c>
      <c r="BF60" s="845">
        <v>10710.9</v>
      </c>
      <c r="BG60" s="845">
        <v>3363.9</v>
      </c>
      <c r="BH60" s="845">
        <v>147568.70000000001</v>
      </c>
      <c r="BI60" s="521">
        <f t="shared" si="66"/>
        <v>163247.79999999999</v>
      </c>
      <c r="BJ60" s="519" t="s">
        <v>1208</v>
      </c>
      <c r="BK60" s="520"/>
      <c r="BL60" s="531">
        <v>-9.5</v>
      </c>
      <c r="BM60" s="531">
        <v>3.6</v>
      </c>
      <c r="BN60" s="531">
        <v>10.76</v>
      </c>
      <c r="BO60" s="531">
        <v>7.41</v>
      </c>
      <c r="BP60" s="531">
        <v>8.33</v>
      </c>
      <c r="BQ60" s="531" t="s">
        <v>836</v>
      </c>
      <c r="BR60" s="531" t="s">
        <v>836</v>
      </c>
      <c r="BS60" s="532" t="s">
        <v>836</v>
      </c>
      <c r="BT60" s="532">
        <v>9410</v>
      </c>
      <c r="BU60" s="532">
        <v>3694</v>
      </c>
      <c r="BV60" s="531">
        <f t="shared" si="72"/>
        <v>98.710796246268643</v>
      </c>
      <c r="BW60" s="531">
        <f t="shared" si="73"/>
        <v>85.88945802337939</v>
      </c>
      <c r="BX60" s="531">
        <f t="shared" si="74"/>
        <v>84.782167906482456</v>
      </c>
      <c r="BY60" s="531">
        <f t="shared" si="75"/>
        <v>8.0038004513128733</v>
      </c>
      <c r="BZ60" s="531">
        <v>5</v>
      </c>
      <c r="CA60" s="531">
        <v>5.92</v>
      </c>
      <c r="CB60" s="531">
        <v>10.78</v>
      </c>
      <c r="CC60" s="531">
        <v>4.8600000000000003</v>
      </c>
      <c r="CD60" s="531">
        <v>9.34</v>
      </c>
      <c r="CE60" s="531">
        <v>13.51</v>
      </c>
      <c r="CF60" s="531">
        <v>4.17</v>
      </c>
    </row>
    <row r="61" spans="9:84" s="482" customFormat="1" ht="12.75" customHeight="1">
      <c r="I61" s="431" t="s">
        <v>1217</v>
      </c>
      <c r="J61" s="432"/>
      <c r="K61" s="852">
        <v>106272.6</v>
      </c>
      <c r="L61" s="852">
        <v>786.2</v>
      </c>
      <c r="M61" s="852">
        <f t="shared" si="52"/>
        <v>107058.8</v>
      </c>
      <c r="N61" s="852">
        <v>8313.2000000000007</v>
      </c>
      <c r="O61" s="852">
        <f t="shared" si="53"/>
        <v>98745.600000000006</v>
      </c>
      <c r="P61" s="852">
        <v>12036.2</v>
      </c>
      <c r="Q61" s="852">
        <v>52994</v>
      </c>
      <c r="R61" s="852">
        <v>74736.800000000003</v>
      </c>
      <c r="S61" s="857">
        <v>687373.3</v>
      </c>
      <c r="T61" s="433">
        <f t="shared" si="54"/>
        <v>762110.10000000009</v>
      </c>
      <c r="U61" s="433">
        <f t="shared" si="55"/>
        <v>815104.10000000009</v>
      </c>
      <c r="V61" s="852">
        <v>559</v>
      </c>
      <c r="W61" s="433">
        <f t="shared" si="56"/>
        <v>174041.40000000002</v>
      </c>
      <c r="X61" s="433">
        <f t="shared" si="57"/>
        <v>861414.70000000007</v>
      </c>
      <c r="Y61" s="857" t="s">
        <v>836</v>
      </c>
      <c r="Z61" s="857" t="s">
        <v>836</v>
      </c>
      <c r="AA61" s="431" t="s">
        <v>1217</v>
      </c>
      <c r="AB61" s="433">
        <v>0</v>
      </c>
      <c r="AC61" s="852">
        <v>15615.8</v>
      </c>
      <c r="AD61" s="852">
        <v>604683.19999999995</v>
      </c>
      <c r="AE61" s="433">
        <f t="shared" si="58"/>
        <v>620299</v>
      </c>
      <c r="AF61" s="433">
        <v>0</v>
      </c>
      <c r="AG61" s="852">
        <v>1518.5</v>
      </c>
      <c r="AH61" s="852">
        <v>20396.900000000001</v>
      </c>
      <c r="AI61" s="433">
        <f t="shared" si="59"/>
        <v>21915.4</v>
      </c>
      <c r="AJ61" s="882">
        <v>9116.4</v>
      </c>
      <c r="AK61" s="882">
        <v>151825.70000000001</v>
      </c>
      <c r="AL61" s="700">
        <v>14806.2</v>
      </c>
      <c r="AM61" s="824">
        <f t="shared" si="60"/>
        <v>166631.90000000002</v>
      </c>
      <c r="AN61" s="433">
        <f t="shared" ref="AN61:AQ62" si="77">AB61+AF61+AJ61</f>
        <v>9116.4</v>
      </c>
      <c r="AO61" s="433">
        <f t="shared" si="77"/>
        <v>168960</v>
      </c>
      <c r="AP61" s="433">
        <f t="shared" si="77"/>
        <v>639886.29999999993</v>
      </c>
      <c r="AQ61" s="433">
        <f t="shared" si="77"/>
        <v>808846.3</v>
      </c>
      <c r="AR61" s="431" t="s">
        <v>1217</v>
      </c>
      <c r="AS61" s="852">
        <v>5755.3</v>
      </c>
      <c r="AT61" s="852">
        <v>15831.8</v>
      </c>
      <c r="AU61" s="857">
        <v>13017.7</v>
      </c>
      <c r="AV61" s="852">
        <v>67.099999999999994</v>
      </c>
      <c r="AW61" s="852">
        <f>815152.8-13.4</f>
        <v>815139.4</v>
      </c>
      <c r="AX61" s="852">
        <v>6520.6</v>
      </c>
      <c r="AY61" s="433">
        <f t="shared" si="62"/>
        <v>821660</v>
      </c>
      <c r="AZ61" s="433">
        <f t="shared" si="63"/>
        <v>53407.9</v>
      </c>
      <c r="BA61" s="432">
        <f t="shared" si="64"/>
        <v>4197.7999999999956</v>
      </c>
      <c r="BB61" s="857">
        <v>57605.7</v>
      </c>
      <c r="BC61" s="852">
        <v>2258123.7999999998</v>
      </c>
      <c r="BD61" s="432">
        <f t="shared" si="65"/>
        <v>164664.5</v>
      </c>
      <c r="BE61" s="852">
        <v>0</v>
      </c>
      <c r="BF61" s="852">
        <v>10721.1</v>
      </c>
      <c r="BG61" s="852">
        <v>3403.7</v>
      </c>
      <c r="BH61" s="852">
        <v>150452.20000000001</v>
      </c>
      <c r="BI61" s="433">
        <f t="shared" si="66"/>
        <v>164577.00000000003</v>
      </c>
      <c r="BJ61" s="431" t="s">
        <v>1217</v>
      </c>
      <c r="BK61" s="432"/>
      <c r="BL61" s="483">
        <v>-11.53</v>
      </c>
      <c r="BM61" s="483">
        <v>2.82</v>
      </c>
      <c r="BN61" s="483">
        <v>12.21</v>
      </c>
      <c r="BO61" s="483">
        <v>8.25</v>
      </c>
      <c r="BP61" s="483">
        <v>9.3699999999999992</v>
      </c>
      <c r="BQ61" s="483" t="s">
        <v>836</v>
      </c>
      <c r="BR61" s="483" t="s">
        <v>836</v>
      </c>
      <c r="BS61" s="739" t="s">
        <v>836</v>
      </c>
      <c r="BT61" s="739">
        <v>9418</v>
      </c>
      <c r="BU61" s="739">
        <v>3696</v>
      </c>
      <c r="BV61" s="483">
        <f t="shared" si="72"/>
        <v>99.227972540647642</v>
      </c>
      <c r="BW61" s="483">
        <f t="shared" si="73"/>
        <v>86.551221066043752</v>
      </c>
      <c r="BX61" s="483">
        <f t="shared" si="74"/>
        <v>85.883021873009142</v>
      </c>
      <c r="BY61" s="483">
        <f t="shared" si="75"/>
        <v>8.0868253945276098</v>
      </c>
      <c r="BZ61" s="483">
        <v>5</v>
      </c>
      <c r="CA61" s="483">
        <v>5.77</v>
      </c>
      <c r="CB61" s="483">
        <v>10.64</v>
      </c>
      <c r="CC61" s="483">
        <v>4.87</v>
      </c>
      <c r="CD61" s="483">
        <v>9.16</v>
      </c>
      <c r="CE61" s="483">
        <v>13.27</v>
      </c>
      <c r="CF61" s="483">
        <v>4.1100000000000003</v>
      </c>
    </row>
    <row r="62" spans="9:84" s="482" customFormat="1" ht="12.75" customHeight="1">
      <c r="I62" s="519" t="s">
        <v>1218</v>
      </c>
      <c r="J62" s="520"/>
      <c r="K62" s="845">
        <v>110659.2</v>
      </c>
      <c r="L62" s="845">
        <v>783.9</v>
      </c>
      <c r="M62" s="845">
        <f t="shared" si="52"/>
        <v>111443.09999999999</v>
      </c>
      <c r="N62" s="845">
        <v>9881.1</v>
      </c>
      <c r="O62" s="845">
        <f t="shared" si="53"/>
        <v>101561.99999999999</v>
      </c>
      <c r="P62" s="845">
        <v>13517.5</v>
      </c>
      <c r="Q62" s="845">
        <v>53173.2</v>
      </c>
      <c r="R62" s="845">
        <v>79201.8</v>
      </c>
      <c r="S62" s="845">
        <v>694771</v>
      </c>
      <c r="T62" s="521">
        <f t="shared" si="54"/>
        <v>773972.8</v>
      </c>
      <c r="U62" s="521">
        <f t="shared" si="55"/>
        <v>827146</v>
      </c>
      <c r="V62" s="845">
        <v>558.79999999999995</v>
      </c>
      <c r="W62" s="521">
        <f t="shared" si="56"/>
        <v>181322.59999999998</v>
      </c>
      <c r="X62" s="521">
        <f t="shared" si="57"/>
        <v>876093.6</v>
      </c>
      <c r="Y62" s="820" t="s">
        <v>836</v>
      </c>
      <c r="Z62" s="820" t="s">
        <v>836</v>
      </c>
      <c r="AA62" s="519" t="s">
        <v>1218</v>
      </c>
      <c r="AB62" s="521">
        <v>0</v>
      </c>
      <c r="AC62" s="845">
        <v>16107.4</v>
      </c>
      <c r="AD62" s="845">
        <v>612797.4</v>
      </c>
      <c r="AE62" s="521">
        <f t="shared" si="58"/>
        <v>628904.80000000005</v>
      </c>
      <c r="AF62" s="521">
        <v>0</v>
      </c>
      <c r="AG62" s="845">
        <v>1467.8</v>
      </c>
      <c r="AH62" s="845">
        <v>20602</v>
      </c>
      <c r="AI62" s="521">
        <f t="shared" si="59"/>
        <v>22069.8</v>
      </c>
      <c r="AJ62" s="849">
        <v>9406</v>
      </c>
      <c r="AK62" s="849">
        <v>153755.5</v>
      </c>
      <c r="AL62" s="732">
        <v>15757.6</v>
      </c>
      <c r="AM62" s="851">
        <f t="shared" si="60"/>
        <v>169513.1</v>
      </c>
      <c r="AN62" s="521">
        <f t="shared" si="77"/>
        <v>9406</v>
      </c>
      <c r="AO62" s="521">
        <f t="shared" si="77"/>
        <v>171330.7</v>
      </c>
      <c r="AP62" s="521">
        <f t="shared" si="77"/>
        <v>649157</v>
      </c>
      <c r="AQ62" s="521">
        <f t="shared" si="77"/>
        <v>820487.70000000007</v>
      </c>
      <c r="AR62" s="519" t="s">
        <v>1218</v>
      </c>
      <c r="AS62" s="845">
        <v>5376.9</v>
      </c>
      <c r="AT62" s="845">
        <v>15526.4</v>
      </c>
      <c r="AU62" s="820">
        <v>13331.2</v>
      </c>
      <c r="AV62" s="845">
        <v>36.9</v>
      </c>
      <c r="AW62" s="845">
        <f>827195.5-12.7</f>
        <v>827182.8</v>
      </c>
      <c r="AX62" s="845">
        <v>6765.4</v>
      </c>
      <c r="AY62" s="521">
        <f t="shared" si="62"/>
        <v>833948.20000000007</v>
      </c>
      <c r="AZ62" s="521">
        <f>0.065*AY62</f>
        <v>54206.633000000009</v>
      </c>
      <c r="BA62" s="520">
        <f>BB62-AZ62</f>
        <v>6694.3669999999911</v>
      </c>
      <c r="BB62" s="845">
        <v>60901</v>
      </c>
      <c r="BC62" s="845">
        <v>2304464.7000000002</v>
      </c>
      <c r="BD62" s="520">
        <f t="shared" si="65"/>
        <v>172344.09999999998</v>
      </c>
      <c r="BE62" s="845">
        <v>0</v>
      </c>
      <c r="BF62" s="845">
        <v>11656.9</v>
      </c>
      <c r="BG62" s="845">
        <v>3876.9</v>
      </c>
      <c r="BH62" s="845">
        <v>152385.5</v>
      </c>
      <c r="BI62" s="521">
        <f t="shared" si="66"/>
        <v>167919.3</v>
      </c>
      <c r="BJ62" s="519" t="s">
        <v>1218</v>
      </c>
      <c r="BK62" s="520"/>
      <c r="BL62" s="531">
        <v>-7.39</v>
      </c>
      <c r="BM62" s="531">
        <v>2.48</v>
      </c>
      <c r="BN62" s="531">
        <v>13.82</v>
      </c>
      <c r="BO62" s="531">
        <v>10.220000000000001</v>
      </c>
      <c r="BP62" s="531">
        <v>11.23</v>
      </c>
      <c r="BQ62" s="531" t="s">
        <v>836</v>
      </c>
      <c r="BR62" s="531" t="s">
        <v>836</v>
      </c>
      <c r="BS62" s="532" t="s">
        <v>836</v>
      </c>
      <c r="BT62" s="532">
        <v>9433</v>
      </c>
      <c r="BU62" s="532">
        <v>3697</v>
      </c>
      <c r="BV62" s="531">
        <f t="shared" si="72"/>
        <v>99.190614214899057</v>
      </c>
      <c r="BW62" s="531">
        <f t="shared" si="73"/>
        <v>87.690321212763706</v>
      </c>
      <c r="BX62" s="531">
        <f t="shared" si="74"/>
        <v>86.980568217958236</v>
      </c>
      <c r="BY62" s="531">
        <f t="shared" si="75"/>
        <v>8.5570081969789502</v>
      </c>
      <c r="BZ62" s="531">
        <v>5</v>
      </c>
      <c r="CA62" s="531">
        <v>5.67</v>
      </c>
      <c r="CB62" s="531">
        <v>10.57</v>
      </c>
      <c r="CC62" s="531">
        <v>4.9000000000000004</v>
      </c>
      <c r="CD62" s="531">
        <v>9.01</v>
      </c>
      <c r="CE62" s="531">
        <v>13.16</v>
      </c>
      <c r="CF62" s="531">
        <v>4.1500000000000004</v>
      </c>
    </row>
    <row r="63" spans="9:84" s="482" customFormat="1" ht="12.75" customHeight="1">
      <c r="I63" s="431" t="s">
        <v>1209</v>
      </c>
      <c r="J63" s="432"/>
      <c r="K63" s="852">
        <v>130728.7</v>
      </c>
      <c r="L63" s="852">
        <v>1576.5</v>
      </c>
      <c r="M63" s="852">
        <f>K63+L63</f>
        <v>132305.20000000001</v>
      </c>
      <c r="N63" s="852">
        <v>10230.700000000001</v>
      </c>
      <c r="O63" s="852">
        <f>M63-N63</f>
        <v>122074.50000000001</v>
      </c>
      <c r="P63" s="852">
        <v>17126.2</v>
      </c>
      <c r="Q63" s="852">
        <v>55874.7</v>
      </c>
      <c r="R63" s="852">
        <v>89759.1</v>
      </c>
      <c r="S63" s="857">
        <v>703947.2</v>
      </c>
      <c r="T63" s="433">
        <f>R63+S63</f>
        <v>793706.29999999993</v>
      </c>
      <c r="U63" s="433">
        <f>Q63+T63</f>
        <v>849580.99999999988</v>
      </c>
      <c r="V63" s="852">
        <v>597.1</v>
      </c>
      <c r="W63" s="433">
        <f>O63+R63+V63</f>
        <v>212430.70000000004</v>
      </c>
      <c r="X63" s="433">
        <f>S63+W63</f>
        <v>916377.9</v>
      </c>
      <c r="Y63" s="857" t="s">
        <v>836</v>
      </c>
      <c r="Z63" s="857" t="s">
        <v>836</v>
      </c>
      <c r="AA63" s="431" t="s">
        <v>1209</v>
      </c>
      <c r="AB63" s="433">
        <v>0</v>
      </c>
      <c r="AC63" s="852">
        <v>14977.5</v>
      </c>
      <c r="AD63" s="852">
        <v>627918.19999999995</v>
      </c>
      <c r="AE63" s="433">
        <f>AC63+AD63</f>
        <v>642895.69999999995</v>
      </c>
      <c r="AF63" s="433">
        <v>0</v>
      </c>
      <c r="AG63" s="852">
        <v>1589</v>
      </c>
      <c r="AH63" s="852">
        <v>22461</v>
      </c>
      <c r="AI63" s="433">
        <f>AG63+AH63</f>
        <v>24050</v>
      </c>
      <c r="AJ63" s="882">
        <v>8613</v>
      </c>
      <c r="AK63" s="882">
        <v>157964.29999999999</v>
      </c>
      <c r="AL63" s="700">
        <v>15663.2</v>
      </c>
      <c r="AM63" s="824">
        <f>AK63+AL63</f>
        <v>173627.5</v>
      </c>
      <c r="AN63" s="433">
        <f>AB63+AF63+AJ63</f>
        <v>8613</v>
      </c>
      <c r="AO63" s="433">
        <f>AC63+AG63+AK63</f>
        <v>174530.8</v>
      </c>
      <c r="AP63" s="433">
        <f>AD63+AH63+AL63</f>
        <v>666042.39999999991</v>
      </c>
      <c r="AQ63" s="433">
        <f>AE63+AI63+AM63</f>
        <v>840573.2</v>
      </c>
      <c r="AR63" s="431" t="s">
        <v>1209</v>
      </c>
      <c r="AS63" s="852">
        <v>5436.7</v>
      </c>
      <c r="AT63" s="852">
        <v>18388.400000000001</v>
      </c>
      <c r="AU63" s="857">
        <v>12975.5</v>
      </c>
      <c r="AV63" s="852">
        <v>50.7</v>
      </c>
      <c r="AW63" s="852">
        <f>849630.4-13.2</f>
        <v>849617.20000000007</v>
      </c>
      <c r="AX63" s="852">
        <v>6908.3</v>
      </c>
      <c r="AY63" s="433">
        <f>AW63+AX63</f>
        <v>856525.50000000012</v>
      </c>
      <c r="AZ63" s="433">
        <f>0.065*AY63</f>
        <v>55674.157500000008</v>
      </c>
      <c r="BA63" s="432">
        <f>BB63-AZ63</f>
        <v>4624.8424999999916</v>
      </c>
      <c r="BB63" s="852">
        <v>60299</v>
      </c>
      <c r="BC63" s="852">
        <v>2370730.1</v>
      </c>
      <c r="BD63" s="432">
        <f>M63+BB63</f>
        <v>192604.2</v>
      </c>
      <c r="BE63" s="852">
        <v>4000</v>
      </c>
      <c r="BF63" s="852">
        <v>15984.8</v>
      </c>
      <c r="BG63" s="852">
        <v>3911.6</v>
      </c>
      <c r="BH63" s="852">
        <v>156583.5</v>
      </c>
      <c r="BI63" s="433">
        <f>BH63+BG63+BF63+BE63</f>
        <v>180479.9</v>
      </c>
      <c r="BJ63" s="431" t="s">
        <v>1209</v>
      </c>
      <c r="BK63" s="432"/>
      <c r="BL63" s="483">
        <v>3.59</v>
      </c>
      <c r="BM63" s="483">
        <v>-3.71</v>
      </c>
      <c r="BN63" s="483">
        <v>16.78</v>
      </c>
      <c r="BO63" s="483">
        <v>14.22</v>
      </c>
      <c r="BP63" s="483">
        <v>16.350000000000001</v>
      </c>
      <c r="BQ63" s="483" t="s">
        <v>836</v>
      </c>
      <c r="BR63" s="483" t="s">
        <v>836</v>
      </c>
      <c r="BS63" s="739" t="s">
        <v>836</v>
      </c>
      <c r="BT63" s="739">
        <v>9453</v>
      </c>
      <c r="BU63" s="739">
        <v>3700</v>
      </c>
      <c r="BV63" s="483">
        <f t="shared" si="72"/>
        <v>98.935520608575231</v>
      </c>
      <c r="BW63" s="483">
        <f t="shared" si="73"/>
        <v>89.878049296519634</v>
      </c>
      <c r="BX63" s="483">
        <f t="shared" si="74"/>
        <v>88.921315984343593</v>
      </c>
      <c r="BY63" s="483">
        <f t="shared" si="75"/>
        <v>8.3013503022302277</v>
      </c>
      <c r="BZ63" s="483">
        <v>5</v>
      </c>
      <c r="CA63" s="483">
        <v>5.54</v>
      </c>
      <c r="CB63" s="483">
        <v>10.39</v>
      </c>
      <c r="CC63" s="483">
        <v>4.8499999999999996</v>
      </c>
      <c r="CD63" s="483">
        <v>8.9499999999999993</v>
      </c>
      <c r="CE63" s="483">
        <v>13.07</v>
      </c>
      <c r="CF63" s="483">
        <v>4.12</v>
      </c>
    </row>
    <row r="64" spans="9:84" s="482" customFormat="1" ht="12.75" customHeight="1">
      <c r="I64" s="639" t="s">
        <v>2809</v>
      </c>
      <c r="J64" s="520"/>
      <c r="K64" s="845"/>
      <c r="L64" s="845"/>
      <c r="M64" s="845"/>
      <c r="N64" s="845"/>
      <c r="O64" s="845"/>
      <c r="P64" s="845"/>
      <c r="Q64" s="845"/>
      <c r="R64" s="845"/>
      <c r="S64" s="820"/>
      <c r="T64" s="521"/>
      <c r="U64" s="521"/>
      <c r="V64" s="845"/>
      <c r="W64" s="521"/>
      <c r="X64" s="521"/>
      <c r="Y64" s="820"/>
      <c r="Z64" s="820"/>
      <c r="AA64" s="639" t="s">
        <v>2809</v>
      </c>
      <c r="AB64" s="521"/>
      <c r="AC64" s="845"/>
      <c r="AD64" s="845"/>
      <c r="AE64" s="521"/>
      <c r="AF64" s="521"/>
      <c r="AG64" s="845"/>
      <c r="AH64" s="845"/>
      <c r="AI64" s="521"/>
      <c r="AJ64" s="849"/>
      <c r="AK64" s="849"/>
      <c r="AL64" s="732"/>
      <c r="AM64" s="851"/>
      <c r="AN64" s="521"/>
      <c r="AO64" s="521"/>
      <c r="AP64" s="521"/>
      <c r="AQ64" s="521"/>
      <c r="AR64" s="639" t="s">
        <v>2809</v>
      </c>
      <c r="AS64" s="845"/>
      <c r="AT64" s="845"/>
      <c r="AU64" s="820"/>
      <c r="AV64" s="845"/>
      <c r="AW64" s="845"/>
      <c r="AX64" s="845"/>
      <c r="AY64" s="521"/>
      <c r="AZ64" s="521"/>
      <c r="BA64" s="520"/>
      <c r="BB64" s="845"/>
      <c r="BC64" s="845"/>
      <c r="BD64" s="520"/>
      <c r="BE64" s="845"/>
      <c r="BF64" s="845"/>
      <c r="BG64" s="845"/>
      <c r="BH64" s="845"/>
      <c r="BI64" s="521"/>
      <c r="BJ64" s="639" t="s">
        <v>2809</v>
      </c>
      <c r="BK64" s="520"/>
      <c r="BL64" s="531"/>
      <c r="BM64" s="531"/>
      <c r="BN64" s="531"/>
      <c r="BO64" s="531"/>
      <c r="BP64" s="531"/>
      <c r="BQ64" s="531"/>
      <c r="BR64" s="531"/>
      <c r="BS64" s="532"/>
      <c r="BT64" s="532"/>
      <c r="BU64" s="532"/>
      <c r="BV64" s="531"/>
      <c r="BW64" s="531"/>
      <c r="BX64" s="531"/>
      <c r="BY64" s="531"/>
      <c r="BZ64" s="531"/>
      <c r="CA64" s="531"/>
      <c r="CB64" s="531"/>
      <c r="CC64" s="531"/>
      <c r="CD64" s="531"/>
      <c r="CE64" s="531"/>
      <c r="CF64" s="531"/>
    </row>
    <row r="65" spans="1:84" s="482" customFormat="1" ht="12.75" customHeight="1">
      <c r="I65" s="315" t="s">
        <v>1211</v>
      </c>
      <c r="J65" s="432"/>
      <c r="K65" s="852">
        <v>118091.1</v>
      </c>
      <c r="L65" s="852">
        <v>1572.3</v>
      </c>
      <c r="M65" s="852">
        <f t="shared" ref="M65:M70" si="78">K65+L65</f>
        <v>119663.40000000001</v>
      </c>
      <c r="N65" s="852">
        <v>10638.4</v>
      </c>
      <c r="O65" s="852">
        <f t="shared" ref="O65:O70" si="79">M65-N65</f>
        <v>109025.00000000001</v>
      </c>
      <c r="P65" s="852">
        <v>12227.5</v>
      </c>
      <c r="Q65" s="852">
        <v>50841</v>
      </c>
      <c r="R65" s="852">
        <v>87334.8</v>
      </c>
      <c r="S65" s="857">
        <v>716365.2</v>
      </c>
      <c r="T65" s="433">
        <f t="shared" ref="T65:T70" si="80">R65+S65</f>
        <v>803700</v>
      </c>
      <c r="U65" s="433">
        <f t="shared" ref="U65:U70" si="81">Q65+T65</f>
        <v>854541</v>
      </c>
      <c r="V65" s="852">
        <v>579.79999999999995</v>
      </c>
      <c r="W65" s="433">
        <f t="shared" ref="W65:W70" si="82">O65+R65+V65</f>
        <v>196939.6</v>
      </c>
      <c r="X65" s="433">
        <f t="shared" ref="X65:X70" si="83">S65+W65</f>
        <v>913304.79999999993</v>
      </c>
      <c r="Y65" s="857" t="s">
        <v>836</v>
      </c>
      <c r="Z65" s="857" t="s">
        <v>836</v>
      </c>
      <c r="AA65" s="315" t="s">
        <v>1211</v>
      </c>
      <c r="AB65" s="433">
        <v>0</v>
      </c>
      <c r="AC65" s="852">
        <v>15146.9</v>
      </c>
      <c r="AD65" s="852">
        <v>621769.9</v>
      </c>
      <c r="AE65" s="433">
        <f t="shared" ref="AE65:AE70" si="84">AC65+AD65</f>
        <v>636916.80000000005</v>
      </c>
      <c r="AF65" s="433">
        <v>0</v>
      </c>
      <c r="AG65" s="852">
        <v>1558.7</v>
      </c>
      <c r="AH65" s="852">
        <v>22009.8</v>
      </c>
      <c r="AI65" s="433">
        <f t="shared" ref="AI65:AI70" si="85">AG65+AH65</f>
        <v>23568.5</v>
      </c>
      <c r="AJ65" s="882">
        <v>8033.4</v>
      </c>
      <c r="AK65" s="882">
        <v>167339.5</v>
      </c>
      <c r="AL65" s="882">
        <v>16609</v>
      </c>
      <c r="AM65" s="824">
        <f t="shared" ref="AM65:AM70" si="86">AK65+AL65</f>
        <v>183948.5</v>
      </c>
      <c r="AN65" s="433">
        <f t="shared" ref="AN65:AQ66" si="87">AB65+AF65+AJ65</f>
        <v>8033.4</v>
      </c>
      <c r="AO65" s="433">
        <f t="shared" si="87"/>
        <v>184045.1</v>
      </c>
      <c r="AP65" s="433">
        <f t="shared" si="87"/>
        <v>660388.70000000007</v>
      </c>
      <c r="AQ65" s="433">
        <f t="shared" si="87"/>
        <v>844433.8</v>
      </c>
      <c r="AR65" s="315" t="s">
        <v>1211</v>
      </c>
      <c r="AS65" s="852">
        <v>4063.9</v>
      </c>
      <c r="AT65" s="852">
        <v>16849.900000000001</v>
      </c>
      <c r="AU65" s="852">
        <v>9507</v>
      </c>
      <c r="AV65" s="852">
        <v>70.599999999999994</v>
      </c>
      <c r="AW65" s="852">
        <f>854592.3-13.2</f>
        <v>854579.10000000009</v>
      </c>
      <c r="AX65" s="852">
        <v>6858.8</v>
      </c>
      <c r="AY65" s="433">
        <f t="shared" ref="AY65:AY70" si="88">AW65+AX65</f>
        <v>861437.90000000014</v>
      </c>
      <c r="AZ65" s="433">
        <f t="shared" ref="AZ65:AZ70" si="89">0.065*AY65</f>
        <v>55993.463500000013</v>
      </c>
      <c r="BA65" s="432">
        <f t="shared" ref="BA65:BA70" si="90">BB65-AZ65</f>
        <v>5621.5364999999874</v>
      </c>
      <c r="BB65" s="852">
        <v>61615</v>
      </c>
      <c r="BC65" s="852">
        <v>2397613</v>
      </c>
      <c r="BD65" s="432">
        <f t="shared" ref="BD65:BD70" si="91">M65+BB65</f>
        <v>181278.40000000002</v>
      </c>
      <c r="BE65" s="852">
        <v>0</v>
      </c>
      <c r="BF65" s="852">
        <v>13234</v>
      </c>
      <c r="BG65" s="852">
        <v>4099.1000000000004</v>
      </c>
      <c r="BH65" s="852">
        <v>165954.20000000001</v>
      </c>
      <c r="BI65" s="433">
        <f t="shared" ref="BI65:BI70" si="92">BH65+BG65+BF65+BE65</f>
        <v>183287.30000000002</v>
      </c>
      <c r="BJ65" s="315" t="s">
        <v>1211</v>
      </c>
      <c r="BK65" s="432"/>
      <c r="BL65" s="483">
        <v>2.13</v>
      </c>
      <c r="BM65" s="483">
        <v>-0.33</v>
      </c>
      <c r="BN65" s="483">
        <v>-0.85</v>
      </c>
      <c r="BO65" s="483">
        <v>-0.41</v>
      </c>
      <c r="BP65" s="483">
        <v>-0.34</v>
      </c>
      <c r="BQ65" s="483" t="s">
        <v>836</v>
      </c>
      <c r="BR65" s="483" t="s">
        <v>836</v>
      </c>
      <c r="BS65" s="739" t="s">
        <v>836</v>
      </c>
      <c r="BT65" s="739">
        <v>9480</v>
      </c>
      <c r="BU65" s="739">
        <v>3704</v>
      </c>
      <c r="BV65" s="483">
        <f t="shared" ref="BV65:BV70" si="93">AQ65/AW65*100</f>
        <v>98.812830784183689</v>
      </c>
      <c r="BW65" s="483">
        <f t="shared" ref="BW65:BW70" si="94">AW65/BT65</f>
        <v>90.145474683544307</v>
      </c>
      <c r="BX65" s="483">
        <f t="shared" ref="BX65:BX70" si="95">AQ65/BT65</f>
        <v>89.075295358649797</v>
      </c>
      <c r="BY65" s="483">
        <f t="shared" ref="BY65:BY70" si="96">(N65+BB65)/AW65*100</f>
        <v>8.4548522190631612</v>
      </c>
      <c r="BZ65" s="483">
        <v>5</v>
      </c>
      <c r="CA65" s="483">
        <v>5.48</v>
      </c>
      <c r="CB65" s="483">
        <v>10.32</v>
      </c>
      <c r="CC65" s="483">
        <v>4.84</v>
      </c>
      <c r="CD65" s="483">
        <v>8.9</v>
      </c>
      <c r="CE65" s="483">
        <v>12.89</v>
      </c>
      <c r="CF65" s="483">
        <v>3.99</v>
      </c>
    </row>
    <row r="66" spans="1:84" s="482" customFormat="1" ht="12.75" customHeight="1">
      <c r="I66" s="543" t="s">
        <v>1212</v>
      </c>
      <c r="J66" s="520"/>
      <c r="K66" s="845">
        <v>120558.2</v>
      </c>
      <c r="L66" s="845">
        <v>1565.6</v>
      </c>
      <c r="M66" s="845">
        <f t="shared" si="78"/>
        <v>122123.8</v>
      </c>
      <c r="N66" s="845">
        <v>10010</v>
      </c>
      <c r="O66" s="845">
        <f t="shared" si="79"/>
        <v>112113.8</v>
      </c>
      <c r="P66" s="845">
        <v>11558.1</v>
      </c>
      <c r="Q66" s="845">
        <v>53439.8</v>
      </c>
      <c r="R66" s="845">
        <v>85653.9</v>
      </c>
      <c r="S66" s="820">
        <v>724519.6</v>
      </c>
      <c r="T66" s="521">
        <f t="shared" si="80"/>
        <v>810173.5</v>
      </c>
      <c r="U66" s="521">
        <f t="shared" si="81"/>
        <v>863613.3</v>
      </c>
      <c r="V66" s="845">
        <v>595.79999999999995</v>
      </c>
      <c r="W66" s="521">
        <f t="shared" si="82"/>
        <v>198363.5</v>
      </c>
      <c r="X66" s="521">
        <f t="shared" si="83"/>
        <v>922883.1</v>
      </c>
      <c r="Y66" s="820" t="s">
        <v>836</v>
      </c>
      <c r="Z66" s="820" t="s">
        <v>836</v>
      </c>
      <c r="AA66" s="543" t="s">
        <v>1212</v>
      </c>
      <c r="AB66" s="521">
        <v>0</v>
      </c>
      <c r="AC66" s="845">
        <v>15296.3</v>
      </c>
      <c r="AD66" s="845">
        <v>629272.9</v>
      </c>
      <c r="AE66" s="521">
        <f t="shared" si="84"/>
        <v>644569.20000000007</v>
      </c>
      <c r="AF66" s="521">
        <v>0</v>
      </c>
      <c r="AG66" s="845">
        <v>1600.1</v>
      </c>
      <c r="AH66" s="845">
        <v>21455.4</v>
      </c>
      <c r="AI66" s="521">
        <f t="shared" si="85"/>
        <v>23055.5</v>
      </c>
      <c r="AJ66" s="849">
        <v>7729.7</v>
      </c>
      <c r="AK66" s="849">
        <v>167391.4</v>
      </c>
      <c r="AL66" s="849">
        <v>16375.6</v>
      </c>
      <c r="AM66" s="851">
        <f t="shared" si="86"/>
        <v>183767</v>
      </c>
      <c r="AN66" s="521">
        <f t="shared" si="87"/>
        <v>7729.7</v>
      </c>
      <c r="AO66" s="521">
        <f t="shared" si="87"/>
        <v>184287.8</v>
      </c>
      <c r="AP66" s="521">
        <f t="shared" si="87"/>
        <v>667103.9</v>
      </c>
      <c r="AQ66" s="521">
        <f t="shared" si="87"/>
        <v>851391.70000000007</v>
      </c>
      <c r="AR66" s="543" t="s">
        <v>1212</v>
      </c>
      <c r="AS66" s="845">
        <v>3663.4</v>
      </c>
      <c r="AT66" s="845">
        <v>17593</v>
      </c>
      <c r="AU66" s="845">
        <v>9476.2000000000007</v>
      </c>
      <c r="AV66" s="845">
        <v>60.4</v>
      </c>
      <c r="AW66" s="845">
        <f>863661.8-14.2</f>
        <v>863647.60000000009</v>
      </c>
      <c r="AX66" s="845">
        <v>6832</v>
      </c>
      <c r="AY66" s="521">
        <f t="shared" si="88"/>
        <v>870479.60000000009</v>
      </c>
      <c r="AZ66" s="521">
        <f t="shared" si="89"/>
        <v>56581.174000000006</v>
      </c>
      <c r="BA66" s="520">
        <f t="shared" si="90"/>
        <v>3417.8259999999937</v>
      </c>
      <c r="BB66" s="845">
        <v>59999</v>
      </c>
      <c r="BC66" s="845">
        <v>2437927.2999999998</v>
      </c>
      <c r="BD66" s="520">
        <f t="shared" si="91"/>
        <v>182122.8</v>
      </c>
      <c r="BE66" s="845">
        <v>0</v>
      </c>
      <c r="BF66" s="845">
        <v>13256.8</v>
      </c>
      <c r="BG66" s="845">
        <v>4186.1000000000004</v>
      </c>
      <c r="BH66" s="845">
        <v>166001.5</v>
      </c>
      <c r="BI66" s="521">
        <f t="shared" si="92"/>
        <v>183444.4</v>
      </c>
      <c r="BJ66" s="543" t="s">
        <v>1212</v>
      </c>
      <c r="BK66" s="520"/>
      <c r="BL66" s="531">
        <v>-0.78</v>
      </c>
      <c r="BM66" s="531">
        <v>0.37</v>
      </c>
      <c r="BN66" s="531">
        <v>0.14000000000000001</v>
      </c>
      <c r="BO66" s="531">
        <v>0.01</v>
      </c>
      <c r="BP66" s="531">
        <v>0.71</v>
      </c>
      <c r="BQ66" s="531" t="s">
        <v>836</v>
      </c>
      <c r="BR66" s="531" t="s">
        <v>836</v>
      </c>
      <c r="BS66" s="532" t="s">
        <v>836</v>
      </c>
      <c r="BT66" s="532">
        <v>9498</v>
      </c>
      <c r="BU66" s="532">
        <v>3704</v>
      </c>
      <c r="BV66" s="531">
        <f t="shared" si="93"/>
        <v>98.580914252526142</v>
      </c>
      <c r="BW66" s="531">
        <f t="shared" si="94"/>
        <v>90.929416719309344</v>
      </c>
      <c r="BX66" s="531">
        <f t="shared" si="95"/>
        <v>89.639050326384506</v>
      </c>
      <c r="BY66" s="531">
        <f t="shared" si="96"/>
        <v>8.1061997972321116</v>
      </c>
      <c r="BZ66" s="531">
        <v>5</v>
      </c>
      <c r="CA66" s="531">
        <v>5.44</v>
      </c>
      <c r="CB66" s="531">
        <v>10.24</v>
      </c>
      <c r="CC66" s="531">
        <v>4.8</v>
      </c>
      <c r="CD66" s="531">
        <v>8.84</v>
      </c>
      <c r="CE66" s="531">
        <v>12.8</v>
      </c>
      <c r="CF66" s="531">
        <v>3.96</v>
      </c>
    </row>
    <row r="67" spans="1:84" s="482" customFormat="1" ht="12.75" customHeight="1">
      <c r="I67" s="315" t="s">
        <v>1206</v>
      </c>
      <c r="J67" s="432"/>
      <c r="K67" s="852">
        <v>126687.4</v>
      </c>
      <c r="L67" s="852">
        <v>1562.2</v>
      </c>
      <c r="M67" s="852">
        <f t="shared" si="78"/>
        <v>128249.59999999999</v>
      </c>
      <c r="N67" s="852">
        <v>10120.299999999999</v>
      </c>
      <c r="O67" s="852">
        <f t="shared" si="79"/>
        <v>118129.29999999999</v>
      </c>
      <c r="P67" s="852">
        <v>11698.4</v>
      </c>
      <c r="Q67" s="852">
        <v>52756.4</v>
      </c>
      <c r="R67" s="852">
        <v>82620.3</v>
      </c>
      <c r="S67" s="857">
        <v>730134.7</v>
      </c>
      <c r="T67" s="433">
        <f t="shared" si="80"/>
        <v>812755</v>
      </c>
      <c r="U67" s="433">
        <f t="shared" si="81"/>
        <v>865511.4</v>
      </c>
      <c r="V67" s="852">
        <v>638.79999999999995</v>
      </c>
      <c r="W67" s="433">
        <f t="shared" si="82"/>
        <v>201388.39999999997</v>
      </c>
      <c r="X67" s="433">
        <f t="shared" si="83"/>
        <v>931523.09999999986</v>
      </c>
      <c r="Y67" s="857" t="s">
        <v>836</v>
      </c>
      <c r="Z67" s="857" t="s">
        <v>836</v>
      </c>
      <c r="AA67" s="315" t="s">
        <v>1206</v>
      </c>
      <c r="AB67" s="433">
        <v>0</v>
      </c>
      <c r="AC67" s="852">
        <v>14914.6</v>
      </c>
      <c r="AD67" s="852">
        <v>636572.80000000005</v>
      </c>
      <c r="AE67" s="433">
        <f t="shared" si="84"/>
        <v>651487.4</v>
      </c>
      <c r="AF67" s="433">
        <v>0</v>
      </c>
      <c r="AG67" s="852">
        <v>1736.1</v>
      </c>
      <c r="AH67" s="852">
        <v>21916.1</v>
      </c>
      <c r="AI67" s="433">
        <f t="shared" si="85"/>
        <v>23652.199999999997</v>
      </c>
      <c r="AJ67" s="882">
        <v>8474.5</v>
      </c>
      <c r="AK67" s="882">
        <v>165355.29999999999</v>
      </c>
      <c r="AL67" s="882">
        <v>16817.3</v>
      </c>
      <c r="AM67" s="824">
        <f t="shared" si="86"/>
        <v>182172.59999999998</v>
      </c>
      <c r="AN67" s="433">
        <f t="shared" ref="AN67:AQ70" si="97">AB67+AF67+AJ67</f>
        <v>8474.5</v>
      </c>
      <c r="AO67" s="433">
        <f t="shared" si="97"/>
        <v>182006</v>
      </c>
      <c r="AP67" s="433">
        <f t="shared" si="97"/>
        <v>675306.20000000007</v>
      </c>
      <c r="AQ67" s="433">
        <f t="shared" si="97"/>
        <v>857312.2</v>
      </c>
      <c r="AR67" s="315" t="s">
        <v>1206</v>
      </c>
      <c r="AS67" s="852">
        <v>4420.7</v>
      </c>
      <c r="AT67" s="852">
        <v>17923.400000000001</v>
      </c>
      <c r="AU67" s="852">
        <v>10963.6</v>
      </c>
      <c r="AV67" s="852">
        <v>120.4</v>
      </c>
      <c r="AW67" s="852">
        <f>865563.6-13.7</f>
        <v>865549.9</v>
      </c>
      <c r="AX67" s="852">
        <v>6938.1</v>
      </c>
      <c r="AY67" s="433">
        <f t="shared" si="88"/>
        <v>872488</v>
      </c>
      <c r="AZ67" s="433">
        <f t="shared" si="89"/>
        <v>56711.72</v>
      </c>
      <c r="BA67" s="432">
        <f t="shared" si="90"/>
        <v>4207.9799999999959</v>
      </c>
      <c r="BB67" s="852">
        <v>60919.7</v>
      </c>
      <c r="BC67" s="852">
        <v>2468283.2999999998</v>
      </c>
      <c r="BD67" s="432">
        <f t="shared" si="91"/>
        <v>189169.3</v>
      </c>
      <c r="BE67" s="852">
        <v>0</v>
      </c>
      <c r="BF67" s="852">
        <v>12689.2</v>
      </c>
      <c r="BG67" s="852">
        <v>4120.6000000000004</v>
      </c>
      <c r="BH67" s="852">
        <v>163959.29999999999</v>
      </c>
      <c r="BI67" s="433">
        <f t="shared" si="92"/>
        <v>180769.1</v>
      </c>
      <c r="BJ67" s="315" t="s">
        <v>1206</v>
      </c>
      <c r="BK67" s="432"/>
      <c r="BL67" s="483">
        <v>-0.49</v>
      </c>
      <c r="BM67" s="483">
        <v>-0.86</v>
      </c>
      <c r="BN67" s="483">
        <v>1.36</v>
      </c>
      <c r="BO67" s="483">
        <v>1.05</v>
      </c>
      <c r="BP67" s="483">
        <v>1.65</v>
      </c>
      <c r="BQ67" s="483" t="s">
        <v>836</v>
      </c>
      <c r="BR67" s="483" t="s">
        <v>836</v>
      </c>
      <c r="BS67" s="739" t="s">
        <v>836</v>
      </c>
      <c r="BT67" s="739">
        <v>9515</v>
      </c>
      <c r="BU67" s="739">
        <v>3706</v>
      </c>
      <c r="BV67" s="483">
        <f t="shared" si="93"/>
        <v>99.048269776242819</v>
      </c>
      <c r="BW67" s="483">
        <f t="shared" si="94"/>
        <v>90.966883867577508</v>
      </c>
      <c r="BX67" s="483">
        <f t="shared" si="95"/>
        <v>90.101124540199677</v>
      </c>
      <c r="BY67" s="483">
        <f t="shared" si="96"/>
        <v>8.207499070821914</v>
      </c>
      <c r="BZ67" s="483">
        <v>5</v>
      </c>
      <c r="CA67" s="483">
        <v>5.39</v>
      </c>
      <c r="CB67" s="483">
        <v>10.11</v>
      </c>
      <c r="CC67" s="483">
        <v>4.72</v>
      </c>
      <c r="CD67" s="483">
        <v>8.7100000000000009</v>
      </c>
      <c r="CE67" s="483">
        <v>12.68</v>
      </c>
      <c r="CF67" s="483">
        <v>3.97</v>
      </c>
    </row>
    <row r="68" spans="1:84" s="482" customFormat="1" ht="12.75" customHeight="1">
      <c r="I68" s="543" t="s">
        <v>1213</v>
      </c>
      <c r="J68" s="520"/>
      <c r="K68" s="845">
        <v>121857.60000000001</v>
      </c>
      <c r="L68" s="845">
        <v>1556.6</v>
      </c>
      <c r="M68" s="845">
        <f t="shared" si="78"/>
        <v>123414.20000000001</v>
      </c>
      <c r="N68" s="845">
        <v>10709.7</v>
      </c>
      <c r="O68" s="845">
        <f t="shared" si="79"/>
        <v>112704.50000000001</v>
      </c>
      <c r="P68" s="845">
        <v>11232.2</v>
      </c>
      <c r="Q68" s="845">
        <v>54965.3</v>
      </c>
      <c r="R68" s="845">
        <v>84391.1</v>
      </c>
      <c r="S68" s="820">
        <v>735498.4</v>
      </c>
      <c r="T68" s="521">
        <f t="shared" si="80"/>
        <v>819889.5</v>
      </c>
      <c r="U68" s="521">
        <f t="shared" si="81"/>
        <v>874854.8</v>
      </c>
      <c r="V68" s="845">
        <v>632.6</v>
      </c>
      <c r="W68" s="521">
        <f t="shared" si="82"/>
        <v>197728.20000000004</v>
      </c>
      <c r="X68" s="521">
        <f t="shared" si="83"/>
        <v>933226.60000000009</v>
      </c>
      <c r="Y68" s="820" t="s">
        <v>836</v>
      </c>
      <c r="Z68" s="820" t="s">
        <v>836</v>
      </c>
      <c r="AA68" s="543" t="s">
        <v>1213</v>
      </c>
      <c r="AB68" s="521">
        <v>0</v>
      </c>
      <c r="AC68" s="845">
        <v>14580.6</v>
      </c>
      <c r="AD68" s="845">
        <v>642011.1</v>
      </c>
      <c r="AE68" s="521">
        <f t="shared" si="84"/>
        <v>656591.69999999995</v>
      </c>
      <c r="AF68" s="521">
        <v>0</v>
      </c>
      <c r="AG68" s="845">
        <v>1664.2</v>
      </c>
      <c r="AH68" s="845">
        <v>21770.400000000001</v>
      </c>
      <c r="AI68" s="521">
        <f t="shared" si="85"/>
        <v>23434.600000000002</v>
      </c>
      <c r="AJ68" s="849">
        <v>8750.2000000000007</v>
      </c>
      <c r="AK68" s="849">
        <v>163960.4</v>
      </c>
      <c r="AL68" s="849">
        <v>16438.7</v>
      </c>
      <c r="AM68" s="851">
        <f t="shared" si="86"/>
        <v>180399.1</v>
      </c>
      <c r="AN68" s="521">
        <f t="shared" si="97"/>
        <v>8750.2000000000007</v>
      </c>
      <c r="AO68" s="521">
        <f t="shared" si="97"/>
        <v>180205.19999999998</v>
      </c>
      <c r="AP68" s="521">
        <f t="shared" si="97"/>
        <v>680220.2</v>
      </c>
      <c r="AQ68" s="521">
        <f t="shared" si="97"/>
        <v>860425.39999999991</v>
      </c>
      <c r="AR68" s="543" t="s">
        <v>1213</v>
      </c>
      <c r="AS68" s="845">
        <v>4892.7</v>
      </c>
      <c r="AT68" s="845">
        <v>19741.2</v>
      </c>
      <c r="AU68" s="845">
        <v>10007</v>
      </c>
      <c r="AV68" s="845">
        <v>98.3</v>
      </c>
      <c r="AW68" s="845">
        <f>874906-13.5</f>
        <v>874892.5</v>
      </c>
      <c r="AX68" s="845">
        <v>6395.8</v>
      </c>
      <c r="AY68" s="521">
        <f t="shared" si="88"/>
        <v>881288.3</v>
      </c>
      <c r="AZ68" s="521">
        <f t="shared" si="89"/>
        <v>57283.739500000003</v>
      </c>
      <c r="BA68" s="520">
        <f t="shared" si="90"/>
        <v>5317.9604999999938</v>
      </c>
      <c r="BB68" s="845">
        <v>62601.7</v>
      </c>
      <c r="BC68" s="845">
        <v>2510307.1</v>
      </c>
      <c r="BD68" s="520">
        <f t="shared" si="91"/>
        <v>186015.90000000002</v>
      </c>
      <c r="BE68" s="845">
        <v>0</v>
      </c>
      <c r="BF68" s="845">
        <v>12292.8</v>
      </c>
      <c r="BG68" s="845">
        <v>4111.6000000000004</v>
      </c>
      <c r="BH68" s="845">
        <v>162665</v>
      </c>
      <c r="BI68" s="521">
        <f t="shared" si="92"/>
        <v>179069.4</v>
      </c>
      <c r="BJ68" s="543" t="s">
        <v>1213</v>
      </c>
      <c r="BK68" s="520"/>
      <c r="BL68" s="531">
        <v>-3.68</v>
      </c>
      <c r="BM68" s="531">
        <v>-3.95</v>
      </c>
      <c r="BN68" s="531">
        <v>2.1</v>
      </c>
      <c r="BO68" s="531">
        <v>1.1499999999999999</v>
      </c>
      <c r="BP68" s="531">
        <v>1.84</v>
      </c>
      <c r="BQ68" s="531" t="s">
        <v>836</v>
      </c>
      <c r="BR68" s="531" t="s">
        <v>836</v>
      </c>
      <c r="BS68" s="532" t="s">
        <v>836</v>
      </c>
      <c r="BT68" s="532">
        <v>9538</v>
      </c>
      <c r="BU68" s="532">
        <v>3706</v>
      </c>
      <c r="BV68" s="531">
        <f t="shared" si="93"/>
        <v>98.34641398800423</v>
      </c>
      <c r="BW68" s="531">
        <f t="shared" si="94"/>
        <v>91.727039211574748</v>
      </c>
      <c r="BX68" s="531">
        <f t="shared" si="95"/>
        <v>90.210253721954274</v>
      </c>
      <c r="BY68" s="531">
        <f t="shared" si="96"/>
        <v>8.3794751926665274</v>
      </c>
      <c r="BZ68" s="531">
        <v>5</v>
      </c>
      <c r="CA68" s="531">
        <v>5.33</v>
      </c>
      <c r="CB68" s="531">
        <v>10.029999999999999</v>
      </c>
      <c r="CC68" s="531">
        <v>4.7</v>
      </c>
      <c r="CD68" s="531">
        <v>8.61</v>
      </c>
      <c r="CE68" s="531">
        <v>12.73</v>
      </c>
      <c r="CF68" s="531">
        <v>4.12</v>
      </c>
    </row>
    <row r="69" spans="1:84" s="482" customFormat="1" ht="12.75" customHeight="1">
      <c r="I69" s="315" t="s">
        <v>1214</v>
      </c>
      <c r="J69" s="432"/>
      <c r="K69" s="852">
        <v>119912.2</v>
      </c>
      <c r="L69" s="852">
        <v>1546.3</v>
      </c>
      <c r="M69" s="852">
        <f t="shared" si="78"/>
        <v>121458.5</v>
      </c>
      <c r="N69" s="852">
        <v>10216.5</v>
      </c>
      <c r="O69" s="852">
        <f t="shared" si="79"/>
        <v>111242</v>
      </c>
      <c r="P69" s="852">
        <v>10005.6</v>
      </c>
      <c r="Q69" s="852">
        <v>55685.3</v>
      </c>
      <c r="R69" s="852">
        <v>85570.1</v>
      </c>
      <c r="S69" s="852">
        <v>741270</v>
      </c>
      <c r="T69" s="433">
        <f t="shared" si="80"/>
        <v>826840.1</v>
      </c>
      <c r="U69" s="433">
        <f t="shared" si="81"/>
        <v>882525.4</v>
      </c>
      <c r="V69" s="852">
        <v>639.29999999999995</v>
      </c>
      <c r="W69" s="433">
        <f t="shared" si="82"/>
        <v>197451.4</v>
      </c>
      <c r="X69" s="433">
        <f t="shared" si="83"/>
        <v>938721.4</v>
      </c>
      <c r="Y69" s="857" t="s">
        <v>836</v>
      </c>
      <c r="Z69" s="857" t="s">
        <v>836</v>
      </c>
      <c r="AA69" s="315" t="s">
        <v>1214</v>
      </c>
      <c r="AB69" s="433">
        <v>0</v>
      </c>
      <c r="AC69" s="852">
        <v>14961.7</v>
      </c>
      <c r="AD69" s="852">
        <v>652611.1</v>
      </c>
      <c r="AE69" s="433">
        <f t="shared" si="84"/>
        <v>667572.79999999993</v>
      </c>
      <c r="AF69" s="433">
        <v>0</v>
      </c>
      <c r="AG69" s="852">
        <v>1596.2</v>
      </c>
      <c r="AH69" s="852">
        <v>21940.7</v>
      </c>
      <c r="AI69" s="433">
        <f t="shared" si="85"/>
        <v>23536.9</v>
      </c>
      <c r="AJ69" s="882">
        <v>9891.4</v>
      </c>
      <c r="AK69" s="882">
        <v>161707.29999999999</v>
      </c>
      <c r="AL69" s="882">
        <v>15129.2</v>
      </c>
      <c r="AM69" s="824">
        <f t="shared" si="86"/>
        <v>176836.5</v>
      </c>
      <c r="AN69" s="433">
        <f t="shared" si="97"/>
        <v>9891.4</v>
      </c>
      <c r="AO69" s="433">
        <f t="shared" si="97"/>
        <v>178265.19999999998</v>
      </c>
      <c r="AP69" s="433">
        <f t="shared" si="97"/>
        <v>689680.99999999988</v>
      </c>
      <c r="AQ69" s="433">
        <f t="shared" si="97"/>
        <v>867946.2</v>
      </c>
      <c r="AR69" s="315" t="s">
        <v>1214</v>
      </c>
      <c r="AS69" s="852">
        <v>5135.3999999999996</v>
      </c>
      <c r="AT69" s="852">
        <v>20784</v>
      </c>
      <c r="AU69" s="852">
        <v>10439</v>
      </c>
      <c r="AV69" s="852">
        <v>71.400000000000006</v>
      </c>
      <c r="AW69" s="852">
        <f>882582.2-12.66</f>
        <v>882569.53999999992</v>
      </c>
      <c r="AX69" s="852">
        <v>6272.3</v>
      </c>
      <c r="AY69" s="433">
        <f t="shared" si="88"/>
        <v>888841.84</v>
      </c>
      <c r="AZ69" s="433">
        <f t="shared" si="89"/>
        <v>57774.719599999997</v>
      </c>
      <c r="BA69" s="433">
        <f t="shared" si="90"/>
        <v>7051.2804000000033</v>
      </c>
      <c r="BB69" s="852">
        <v>64826</v>
      </c>
      <c r="BC69" s="852">
        <v>2560472.7999999998</v>
      </c>
      <c r="BD69" s="432">
        <f t="shared" si="91"/>
        <v>186284.5</v>
      </c>
      <c r="BE69" s="852">
        <v>0</v>
      </c>
      <c r="BF69" s="852">
        <v>12302.1</v>
      </c>
      <c r="BG69" s="852">
        <v>4097.7</v>
      </c>
      <c r="BH69" s="852">
        <v>160416</v>
      </c>
      <c r="BI69" s="433">
        <f t="shared" si="92"/>
        <v>176815.80000000002</v>
      </c>
      <c r="BJ69" s="315" t="s">
        <v>1214</v>
      </c>
      <c r="BK69" s="432"/>
      <c r="BL69" s="483">
        <v>-4.88</v>
      </c>
      <c r="BM69" s="483">
        <v>-1.9</v>
      </c>
      <c r="BN69" s="483">
        <v>3.51</v>
      </c>
      <c r="BO69" s="483">
        <v>2.2000000000000002</v>
      </c>
      <c r="BP69" s="483">
        <v>2.44</v>
      </c>
      <c r="BQ69" s="483" t="s">
        <v>836</v>
      </c>
      <c r="BR69" s="483" t="s">
        <v>836</v>
      </c>
      <c r="BS69" s="739" t="s">
        <v>836</v>
      </c>
      <c r="BT69" s="739">
        <v>9576</v>
      </c>
      <c r="BU69" s="739">
        <v>3707</v>
      </c>
      <c r="BV69" s="483">
        <f t="shared" si="93"/>
        <v>98.343094868195891</v>
      </c>
      <c r="BW69" s="483">
        <f t="shared" si="94"/>
        <v>92.164738930659979</v>
      </c>
      <c r="BX69" s="483">
        <f t="shared" si="95"/>
        <v>90.637656641604011</v>
      </c>
      <c r="BY69" s="483">
        <f t="shared" si="96"/>
        <v>8.5027294279836596</v>
      </c>
      <c r="BZ69" s="483">
        <v>5</v>
      </c>
      <c r="CA69" s="483">
        <v>5.29</v>
      </c>
      <c r="CB69" s="483">
        <v>9.94</v>
      </c>
      <c r="CC69" s="483">
        <v>4.6500000000000004</v>
      </c>
      <c r="CD69" s="483">
        <v>8.5299999999999994</v>
      </c>
      <c r="CE69" s="483">
        <v>12.35</v>
      </c>
      <c r="CF69" s="483">
        <v>3.82</v>
      </c>
    </row>
    <row r="70" spans="1:84" s="482" customFormat="1" ht="12.75" customHeight="1" thickBot="1">
      <c r="I70" s="644" t="s">
        <v>1207</v>
      </c>
      <c r="J70" s="1567"/>
      <c r="K70" s="1568">
        <v>121819.4</v>
      </c>
      <c r="L70" s="1568">
        <v>1537.1</v>
      </c>
      <c r="M70" s="1568">
        <f t="shared" si="78"/>
        <v>123356.5</v>
      </c>
      <c r="N70" s="1568">
        <v>10203.1</v>
      </c>
      <c r="O70" s="1568">
        <f t="shared" si="79"/>
        <v>113153.4</v>
      </c>
      <c r="P70" s="1568">
        <v>16042.7</v>
      </c>
      <c r="Q70" s="1568">
        <v>59153.3</v>
      </c>
      <c r="R70" s="1568">
        <v>90660.7</v>
      </c>
      <c r="S70" s="1534">
        <v>749607.5</v>
      </c>
      <c r="T70" s="1569">
        <f t="shared" si="80"/>
        <v>840268.2</v>
      </c>
      <c r="U70" s="1568">
        <f t="shared" si="81"/>
        <v>899421.5</v>
      </c>
      <c r="V70" s="1568">
        <v>632.20000000000005</v>
      </c>
      <c r="W70" s="1569">
        <f t="shared" si="82"/>
        <v>204446.3</v>
      </c>
      <c r="X70" s="1569">
        <f t="shared" si="83"/>
        <v>954053.8</v>
      </c>
      <c r="Y70" s="1534" t="s">
        <v>836</v>
      </c>
      <c r="Z70" s="1534" t="s">
        <v>836</v>
      </c>
      <c r="AA70" s="644" t="s">
        <v>1207</v>
      </c>
      <c r="AB70" s="1569">
        <v>0</v>
      </c>
      <c r="AC70" s="1568">
        <v>15103.6</v>
      </c>
      <c r="AD70" s="1568">
        <v>673766.5</v>
      </c>
      <c r="AE70" s="1569">
        <f t="shared" si="84"/>
        <v>688870.1</v>
      </c>
      <c r="AF70" s="1569">
        <v>0</v>
      </c>
      <c r="AG70" s="1568">
        <v>1456.2</v>
      </c>
      <c r="AH70" s="1568">
        <v>22786.7</v>
      </c>
      <c r="AI70" s="1569">
        <f t="shared" si="85"/>
        <v>24242.9</v>
      </c>
      <c r="AJ70" s="1570">
        <v>10449</v>
      </c>
      <c r="AK70" s="1570">
        <v>154758.1</v>
      </c>
      <c r="AL70" s="1570">
        <v>15544.9</v>
      </c>
      <c r="AM70" s="1571">
        <f t="shared" si="86"/>
        <v>170303</v>
      </c>
      <c r="AN70" s="1569">
        <f t="shared" si="97"/>
        <v>10449</v>
      </c>
      <c r="AO70" s="1569">
        <f t="shared" si="97"/>
        <v>171317.9</v>
      </c>
      <c r="AP70" s="1569">
        <f t="shared" si="97"/>
        <v>712098.1</v>
      </c>
      <c r="AQ70" s="1569">
        <f t="shared" si="97"/>
        <v>883416</v>
      </c>
      <c r="AR70" s="644" t="s">
        <v>1207</v>
      </c>
      <c r="AS70" s="1568">
        <v>5751.9</v>
      </c>
      <c r="AT70" s="1568">
        <v>22994.6</v>
      </c>
      <c r="AU70" s="1568">
        <v>10276.5</v>
      </c>
      <c r="AV70" s="1568">
        <v>101.6</v>
      </c>
      <c r="AW70" s="1568">
        <f>899473.3-13.7</f>
        <v>899459.60000000009</v>
      </c>
      <c r="AX70" s="1568">
        <v>6050.4</v>
      </c>
      <c r="AY70" s="1569">
        <f t="shared" si="88"/>
        <v>905510.00000000012</v>
      </c>
      <c r="AZ70" s="1569">
        <f t="shared" si="89"/>
        <v>58858.150000000009</v>
      </c>
      <c r="BA70" s="1569">
        <f t="shared" si="90"/>
        <v>8651.3499999999913</v>
      </c>
      <c r="BB70" s="1568">
        <v>67509.5</v>
      </c>
      <c r="BC70" s="1568">
        <v>2461740.5</v>
      </c>
      <c r="BD70" s="1567">
        <f t="shared" si="91"/>
        <v>190866</v>
      </c>
      <c r="BE70" s="1568">
        <v>0</v>
      </c>
      <c r="BF70" s="1568">
        <v>12245.2</v>
      </c>
      <c r="BG70" s="1568">
        <v>3398.5</v>
      </c>
      <c r="BH70" s="1568">
        <v>153465.79999999999</v>
      </c>
      <c r="BI70" s="1569">
        <f t="shared" si="92"/>
        <v>169109.5</v>
      </c>
      <c r="BJ70" s="644" t="s">
        <v>1207</v>
      </c>
      <c r="BK70" s="1567"/>
      <c r="BL70" s="886">
        <v>-13.64</v>
      </c>
      <c r="BM70" s="886">
        <v>2.0499999999999998</v>
      </c>
      <c r="BN70" s="886">
        <v>6.86</v>
      </c>
      <c r="BO70" s="886">
        <v>3.84</v>
      </c>
      <c r="BP70" s="886">
        <v>4.1100000000000003</v>
      </c>
      <c r="BQ70" s="886" t="s">
        <v>836</v>
      </c>
      <c r="BR70" s="886" t="s">
        <v>836</v>
      </c>
      <c r="BS70" s="1572" t="s">
        <v>836</v>
      </c>
      <c r="BT70" s="1572">
        <v>9654</v>
      </c>
      <c r="BU70" s="1572">
        <v>3710</v>
      </c>
      <c r="BV70" s="886">
        <f t="shared" si="93"/>
        <v>98.216306769086671</v>
      </c>
      <c r="BW70" s="886">
        <f t="shared" si="94"/>
        <v>93.169629169256282</v>
      </c>
      <c r="BX70" s="886">
        <f t="shared" si="95"/>
        <v>91.507768800497203</v>
      </c>
      <c r="BY70" s="886">
        <f t="shared" si="96"/>
        <v>8.6399211259738617</v>
      </c>
      <c r="BZ70" s="886">
        <v>5</v>
      </c>
      <c r="CA70" s="886">
        <v>5.22</v>
      </c>
      <c r="CB70" s="886">
        <v>9.93</v>
      </c>
      <c r="CC70" s="886">
        <f>CB70-CA70</f>
        <v>4.71</v>
      </c>
      <c r="CD70" s="886">
        <v>8.4700000000000006</v>
      </c>
      <c r="CE70" s="886">
        <v>12.32</v>
      </c>
      <c r="CF70" s="886">
        <f>CE70-CD70</f>
        <v>3.8499999999999996</v>
      </c>
    </row>
    <row r="71" spans="1:84" s="826" customFormat="1" ht="9" customHeight="1">
      <c r="I71" s="827" t="s">
        <v>472</v>
      </c>
      <c r="J71" s="828" t="s">
        <v>473</v>
      </c>
      <c r="K71" s="1712" t="s">
        <v>3001</v>
      </c>
      <c r="L71" s="1712"/>
      <c r="M71" s="1712"/>
      <c r="N71" s="1712"/>
      <c r="O71" s="1712"/>
      <c r="P71" s="1712"/>
      <c r="Q71" s="1712"/>
      <c r="R71" s="1712"/>
      <c r="S71" s="829" t="s">
        <v>1935</v>
      </c>
      <c r="T71" s="1711" t="s">
        <v>481</v>
      </c>
      <c r="U71" s="1711"/>
      <c r="V71" s="1711"/>
      <c r="W71" s="1711"/>
      <c r="X71" s="1711"/>
      <c r="Y71" s="1711"/>
      <c r="Z71" s="1711"/>
      <c r="AA71" s="830" t="s">
        <v>52</v>
      </c>
      <c r="AB71" s="1711" t="s">
        <v>2435</v>
      </c>
      <c r="AC71" s="1711"/>
      <c r="AD71" s="1711"/>
      <c r="AE71" s="1711"/>
      <c r="AF71" s="1711"/>
      <c r="AG71" s="1711"/>
      <c r="AH71" s="1711"/>
      <c r="AI71" s="1711"/>
      <c r="AJ71" s="831" t="s">
        <v>1936</v>
      </c>
      <c r="AK71" s="1704" t="s">
        <v>2875</v>
      </c>
      <c r="AL71" s="1704"/>
      <c r="AM71" s="1704"/>
      <c r="AN71" s="1704"/>
      <c r="AO71" s="1704"/>
      <c r="AP71" s="1704"/>
      <c r="AQ71" s="1704"/>
      <c r="AR71" s="832"/>
      <c r="AS71" s="833"/>
      <c r="AT71" s="833"/>
      <c r="AU71" s="833"/>
      <c r="AV71" s="833"/>
      <c r="AW71" s="833"/>
      <c r="AX71" s="833"/>
      <c r="AY71" s="433"/>
      <c r="AZ71" s="834" t="s">
        <v>477</v>
      </c>
      <c r="BA71" s="828" t="s">
        <v>2631</v>
      </c>
      <c r="BJ71" s="835" t="s">
        <v>1330</v>
      </c>
      <c r="BK71" s="836"/>
      <c r="BL71" s="1712" t="s">
        <v>2920</v>
      </c>
      <c r="BM71" s="1712"/>
      <c r="BN71" s="1712"/>
      <c r="BO71" s="1712"/>
      <c r="BP71" s="1712"/>
      <c r="BQ71" s="1712"/>
      <c r="BR71" s="1712"/>
      <c r="BS71" s="1712"/>
      <c r="BT71" s="1712"/>
      <c r="BV71" s="924" t="s">
        <v>2224</v>
      </c>
      <c r="BW71" s="828" t="s">
        <v>2225</v>
      </c>
      <c r="BX71" s="828"/>
      <c r="BY71" s="828"/>
      <c r="BZ71" s="828"/>
      <c r="CA71" s="828"/>
      <c r="CB71" s="828"/>
      <c r="CC71" s="828"/>
    </row>
    <row r="72" spans="1:84" s="837" customFormat="1" ht="6.95" customHeight="1">
      <c r="A72" s="826"/>
      <c r="B72" s="826"/>
      <c r="C72" s="826"/>
      <c r="D72" s="826"/>
      <c r="E72" s="826"/>
      <c r="F72" s="826"/>
      <c r="G72" s="826"/>
      <c r="H72" s="826"/>
      <c r="J72" s="838"/>
      <c r="K72" s="1709" t="s">
        <v>2965</v>
      </c>
      <c r="L72" s="1709"/>
      <c r="M72" s="1709"/>
      <c r="N72" s="1709"/>
      <c r="O72" s="1709"/>
      <c r="P72" s="1709"/>
      <c r="Q72" s="1709"/>
      <c r="R72" s="1709"/>
      <c r="T72" s="1711" t="s">
        <v>2727</v>
      </c>
      <c r="U72" s="1711"/>
      <c r="Z72" s="838"/>
      <c r="AA72" s="840"/>
      <c r="AB72" s="1711" t="s">
        <v>474</v>
      </c>
      <c r="AC72" s="1711"/>
      <c r="AD72" s="1711"/>
      <c r="AE72" s="1711"/>
      <c r="AF72" s="1711"/>
      <c r="AG72" s="1711"/>
      <c r="AH72" s="1711"/>
      <c r="AI72" s="1711"/>
      <c r="AJ72" s="828"/>
      <c r="AK72" s="1747" t="s">
        <v>2874</v>
      </c>
      <c r="AL72" s="1747"/>
      <c r="AM72" s="1747"/>
      <c r="AN72" s="1747"/>
      <c r="AO72" s="1747"/>
      <c r="AP72" s="1747"/>
      <c r="AQ72" s="1747"/>
      <c r="AR72" s="841"/>
      <c r="AS72" s="839"/>
      <c r="AT72" s="833"/>
      <c r="AU72" s="833"/>
      <c r="AV72" s="833"/>
      <c r="AW72" s="833"/>
      <c r="AX72" s="833"/>
      <c r="AY72" s="833"/>
      <c r="BA72" s="1711" t="s">
        <v>1737</v>
      </c>
      <c r="BB72" s="1711"/>
      <c r="BC72" s="1711"/>
      <c r="BD72" s="1711"/>
      <c r="BE72" s="1711"/>
      <c r="BF72" s="1711"/>
      <c r="BG72" s="1711"/>
      <c r="BH72" s="1711"/>
      <c r="BI72" s="1711"/>
      <c r="BK72" s="836"/>
      <c r="BL72" s="1711" t="s">
        <v>480</v>
      </c>
      <c r="BM72" s="1711"/>
      <c r="BN72" s="1711"/>
      <c r="BO72" s="1711"/>
      <c r="BP72" s="1711"/>
      <c r="BQ72" s="1711"/>
      <c r="BR72" s="1711"/>
      <c r="BS72" s="1711"/>
      <c r="BT72" s="1711"/>
      <c r="BW72" s="837" t="s">
        <v>1379</v>
      </c>
      <c r="BX72" s="833"/>
      <c r="BY72" s="833"/>
      <c r="BZ72" s="833"/>
      <c r="CA72" s="833"/>
      <c r="CB72" s="833"/>
    </row>
    <row r="73" spans="1:84" s="837" customFormat="1" ht="6.95" customHeight="1">
      <c r="A73" s="826"/>
      <c r="B73" s="826"/>
      <c r="C73" s="826"/>
      <c r="D73" s="826"/>
      <c r="E73" s="826"/>
      <c r="F73" s="826"/>
      <c r="G73" s="826"/>
      <c r="H73" s="826"/>
      <c r="K73" s="1709" t="s">
        <v>2853</v>
      </c>
      <c r="L73" s="1709"/>
      <c r="M73" s="1709"/>
      <c r="N73" s="1709"/>
      <c r="O73" s="1709"/>
      <c r="P73" s="1709"/>
      <c r="Q73" s="1709"/>
      <c r="R73" s="1709"/>
      <c r="S73" s="839"/>
      <c r="T73" s="839"/>
      <c r="U73" s="839"/>
      <c r="V73" s="839"/>
      <c r="W73" s="839"/>
      <c r="X73" s="839"/>
      <c r="Y73" s="839"/>
      <c r="Z73" s="839"/>
      <c r="AA73" s="829"/>
      <c r="AB73" s="1710" t="s">
        <v>2385</v>
      </c>
      <c r="AC73" s="1710"/>
      <c r="AD73" s="1710"/>
      <c r="AE73" s="1710"/>
      <c r="AF73" s="1710"/>
      <c r="AG73" s="1710"/>
      <c r="AH73" s="1710"/>
      <c r="AI73" s="1710"/>
      <c r="AJ73" s="833"/>
      <c r="AK73" s="839"/>
      <c r="AL73" s="833"/>
      <c r="AM73" s="833"/>
      <c r="AN73" s="833"/>
      <c r="AO73" s="833"/>
      <c r="AP73" s="833"/>
      <c r="AQ73" s="841"/>
      <c r="AR73" s="841"/>
      <c r="AS73" s="833"/>
      <c r="AT73" s="833"/>
      <c r="AU73" s="833"/>
      <c r="AV73" s="833"/>
      <c r="AW73" s="833"/>
      <c r="AX73" s="833"/>
      <c r="AY73" s="833" t="s">
        <v>49</v>
      </c>
      <c r="AZ73" s="842"/>
      <c r="BA73" s="1711" t="s">
        <v>2630</v>
      </c>
      <c r="BB73" s="1711"/>
      <c r="BC73" s="1711"/>
      <c r="BD73" s="1711"/>
      <c r="BE73" s="1711"/>
      <c r="BF73" s="1711"/>
      <c r="BG73" s="1711"/>
      <c r="BH73" s="1711"/>
      <c r="BI73" s="1711"/>
      <c r="BK73" s="1158"/>
      <c r="BL73" s="837" t="s">
        <v>2921</v>
      </c>
      <c r="BU73" s="833"/>
      <c r="BW73" s="921" t="s">
        <v>2781</v>
      </c>
      <c r="BX73" s="921"/>
      <c r="BY73" s="833"/>
      <c r="BZ73" s="833"/>
      <c r="CA73" s="833"/>
      <c r="CB73" s="833"/>
    </row>
    <row r="74" spans="1:84" s="837" customFormat="1" ht="6.95" customHeight="1">
      <c r="I74" s="827" t="s">
        <v>470</v>
      </c>
      <c r="J74" s="842" t="s">
        <v>471</v>
      </c>
      <c r="K74" s="842" t="s">
        <v>469</v>
      </c>
      <c r="L74" s="842"/>
      <c r="M74" s="842"/>
      <c r="AB74" s="839"/>
      <c r="AC74" s="842"/>
      <c r="BA74" s="1711"/>
      <c r="BB74" s="1711"/>
      <c r="BC74" s="1711"/>
      <c r="BD74" s="1711"/>
      <c r="BE74" s="1711"/>
      <c r="BF74" s="1711"/>
      <c r="BG74" s="1711"/>
      <c r="BH74" s="1711"/>
      <c r="BI74" s="1711"/>
      <c r="BL74" s="1709"/>
      <c r="BM74" s="1709"/>
    </row>
    <row r="75" spans="1:84">
      <c r="W75" s="159"/>
      <c r="AZ75" s="11"/>
      <c r="BA75" s="11"/>
      <c r="BB75" s="11"/>
      <c r="BC75" s="11"/>
      <c r="BD75" s="11"/>
      <c r="BE75" s="11"/>
      <c r="BF75" s="11"/>
      <c r="BG75" s="11"/>
      <c r="BH75" s="11"/>
      <c r="BI75" s="11"/>
      <c r="BW75" s="827" t="s">
        <v>32</v>
      </c>
      <c r="BX75" s="842" t="s">
        <v>469</v>
      </c>
    </row>
    <row r="76" spans="1:84">
      <c r="AJ76" s="1387"/>
      <c r="AK76" s="1387"/>
      <c r="AL76" s="1387"/>
      <c r="AM76" s="1387"/>
      <c r="AN76" s="1387"/>
      <c r="AO76" s="1387"/>
      <c r="AP76" s="1387"/>
      <c r="AQ76" s="1387"/>
      <c r="AR76" s="1387"/>
      <c r="AZ76" s="11"/>
      <c r="BA76" s="11"/>
      <c r="BB76" s="11"/>
      <c r="BC76" s="11"/>
      <c r="BD76" s="11"/>
      <c r="BE76" s="11"/>
      <c r="BF76" s="11"/>
      <c r="BG76" s="11"/>
      <c r="BH76" s="11"/>
      <c r="BI76" s="11"/>
    </row>
    <row r="77" spans="1:84">
      <c r="M77" s="56"/>
      <c r="T77" s="56"/>
      <c r="W77" s="56"/>
      <c r="AO77" s="56"/>
      <c r="AP77" s="56"/>
      <c r="AQ77" s="56"/>
      <c r="AZ77" s="11"/>
      <c r="BA77" s="11"/>
      <c r="BB77" s="11"/>
      <c r="BC77" s="11"/>
      <c r="BD77" s="265"/>
      <c r="BE77" s="11"/>
      <c r="BF77" s="11"/>
      <c r="BG77" s="11"/>
      <c r="BH77" s="11"/>
      <c r="BI77" s="11"/>
      <c r="CC77" s="135"/>
    </row>
    <row r="78" spans="1:84">
      <c r="X78" s="56"/>
      <c r="AN78" s="56"/>
      <c r="AZ78" s="11"/>
      <c r="BA78" s="11"/>
      <c r="BB78" s="11"/>
      <c r="BC78" s="11"/>
      <c r="BD78" s="11"/>
      <c r="BE78" s="11"/>
      <c r="BF78" s="11"/>
      <c r="BG78" s="11"/>
      <c r="BH78" s="11"/>
      <c r="BI78" s="11"/>
    </row>
    <row r="79" spans="1:84">
      <c r="AZ79" s="11"/>
      <c r="BA79" s="11"/>
      <c r="BB79" s="11"/>
      <c r="BC79" s="11"/>
      <c r="BD79" s="11"/>
      <c r="BE79" s="11"/>
      <c r="BF79" s="11"/>
      <c r="BG79" s="11"/>
      <c r="BH79" s="11"/>
      <c r="BI79" s="11"/>
    </row>
    <row r="80" spans="1:84">
      <c r="AZ80" s="11"/>
      <c r="BA80" s="11"/>
      <c r="BB80" s="11"/>
      <c r="BC80" s="11"/>
      <c r="BD80" s="11"/>
      <c r="BE80" s="11"/>
      <c r="BF80" s="11"/>
      <c r="BG80" s="11"/>
      <c r="BH80" s="11"/>
      <c r="BI80" s="11"/>
    </row>
    <row r="81" spans="31:61">
      <c r="AZ81" s="11"/>
      <c r="BA81" s="11"/>
      <c r="BB81" s="11"/>
      <c r="BC81" s="11"/>
      <c r="BD81" s="11"/>
      <c r="BE81" s="11"/>
      <c r="BF81" s="11"/>
      <c r="BG81" s="11"/>
      <c r="BH81" s="11"/>
      <c r="BI81" s="11"/>
    </row>
    <row r="82" spans="31:61">
      <c r="AN82" s="56"/>
      <c r="AZ82" s="11"/>
      <c r="BA82" s="11"/>
      <c r="BB82" s="11"/>
      <c r="BC82" s="11"/>
      <c r="BD82" s="11"/>
      <c r="BE82" s="11"/>
      <c r="BF82" s="11"/>
      <c r="BG82" s="11"/>
      <c r="BH82" s="11"/>
      <c r="BI82" s="11"/>
    </row>
    <row r="83" spans="31:61">
      <c r="AE83" s="56"/>
      <c r="AF83" s="56"/>
      <c r="AZ83" s="11"/>
      <c r="BA83" s="11"/>
      <c r="BB83" s="11"/>
      <c r="BC83" s="11"/>
      <c r="BD83" s="11"/>
      <c r="BE83" s="11"/>
      <c r="BF83" s="11"/>
      <c r="BG83" s="11"/>
      <c r="BH83" s="11"/>
      <c r="BI83" s="11"/>
    </row>
    <row r="84" spans="31:61">
      <c r="AE84" s="56"/>
      <c r="AF84" s="56"/>
      <c r="AZ84" s="11"/>
      <c r="BA84" s="11"/>
      <c r="BB84" s="11"/>
      <c r="BC84" s="11"/>
      <c r="BD84" s="11"/>
      <c r="BE84" s="11"/>
      <c r="BF84" s="11"/>
      <c r="BG84" s="11"/>
      <c r="BH84" s="11"/>
      <c r="BI84" s="11"/>
    </row>
    <row r="85" spans="31:61">
      <c r="AE85" s="56"/>
      <c r="AF85" s="56"/>
      <c r="AZ85" s="11"/>
      <c r="BA85" s="11"/>
      <c r="BB85" s="11"/>
      <c r="BC85" s="11"/>
      <c r="BD85" s="11"/>
      <c r="BE85" s="11"/>
      <c r="BF85" s="11"/>
      <c r="BG85" s="11"/>
      <c r="BH85" s="11"/>
      <c r="BI85" s="11"/>
    </row>
    <row r="86" spans="31:61">
      <c r="AE86" s="56"/>
      <c r="AF86" s="56"/>
      <c r="AZ86" s="11"/>
      <c r="BA86" s="11"/>
      <c r="BB86" s="11"/>
      <c r="BC86" s="11"/>
      <c r="BD86" s="11"/>
      <c r="BE86" s="11"/>
      <c r="BF86" s="11"/>
      <c r="BG86" s="11"/>
      <c r="BH86" s="11"/>
      <c r="BI86" s="11"/>
    </row>
    <row r="87" spans="31:61">
      <c r="AE87" s="56"/>
      <c r="AF87" s="56"/>
      <c r="AZ87" s="11"/>
      <c r="BA87" s="11"/>
      <c r="BB87" s="11"/>
      <c r="BC87" s="11"/>
      <c r="BD87" s="11"/>
      <c r="BE87" s="11"/>
      <c r="BF87" s="11"/>
      <c r="BG87" s="11"/>
      <c r="BH87" s="11"/>
      <c r="BI87" s="11"/>
    </row>
    <row r="88" spans="31:61">
      <c r="AE88" s="56"/>
      <c r="AF88" s="56"/>
      <c r="AZ88" s="11"/>
      <c r="BA88" s="11"/>
      <c r="BB88" s="11"/>
      <c r="BC88" s="11"/>
      <c r="BD88" s="11"/>
      <c r="BE88" s="11"/>
      <c r="BF88" s="11"/>
      <c r="BG88" s="11"/>
      <c r="BH88" s="11"/>
      <c r="BI88" s="11"/>
    </row>
    <row r="89" spans="31:61">
      <c r="AE89" s="56"/>
      <c r="AF89" s="56"/>
      <c r="AZ89" s="11"/>
      <c r="BA89" s="11"/>
      <c r="BB89" s="11"/>
      <c r="BC89" s="11"/>
      <c r="BD89" s="11"/>
      <c r="BE89" s="11"/>
      <c r="BF89" s="11"/>
      <c r="BG89" s="11"/>
      <c r="BH89" s="11"/>
      <c r="BI89" s="11"/>
    </row>
    <row r="90" spans="31:61">
      <c r="AE90" s="56"/>
      <c r="AF90" s="56"/>
      <c r="AZ90" s="11"/>
      <c r="BA90" s="11"/>
      <c r="BB90" s="11"/>
      <c r="BC90" s="11"/>
      <c r="BD90" s="11"/>
      <c r="BE90" s="11"/>
      <c r="BF90" s="11"/>
      <c r="BG90" s="11"/>
      <c r="BH90" s="11"/>
      <c r="BI90" s="11"/>
    </row>
    <row r="91" spans="31:61">
      <c r="AE91" s="56"/>
      <c r="AF91" s="56"/>
      <c r="AZ91" s="11"/>
      <c r="BA91" s="11"/>
      <c r="BB91" s="11"/>
      <c r="BC91" s="11"/>
      <c r="BD91" s="11"/>
      <c r="BE91" s="11"/>
      <c r="BF91" s="11"/>
      <c r="BG91" s="11"/>
      <c r="BH91" s="11"/>
      <c r="BI91" s="11"/>
    </row>
    <row r="92" spans="31:61">
      <c r="AE92" s="56"/>
      <c r="AF92" s="56"/>
      <c r="AZ92" s="11"/>
      <c r="BA92" s="11"/>
      <c r="BB92" s="11"/>
      <c r="BC92" s="11"/>
      <c r="BD92" s="11"/>
      <c r="BE92" s="11"/>
      <c r="BF92" s="11"/>
      <c r="BG92" s="11"/>
      <c r="BH92" s="11"/>
      <c r="BI92" s="11"/>
    </row>
    <row r="93" spans="31:61">
      <c r="AE93" s="56"/>
      <c r="AF93" s="56"/>
      <c r="AZ93" s="11"/>
      <c r="BA93" s="11"/>
      <c r="BB93" s="11"/>
      <c r="BC93" s="11"/>
      <c r="BD93" s="11"/>
      <c r="BE93" s="11"/>
      <c r="BF93" s="11"/>
      <c r="BG93" s="11"/>
      <c r="BH93" s="11"/>
      <c r="BI93" s="11"/>
    </row>
    <row r="94" spans="31:61">
      <c r="AE94" s="56"/>
      <c r="AF94" s="56"/>
      <c r="AZ94" s="11"/>
      <c r="BA94" s="11"/>
      <c r="BB94" s="11"/>
      <c r="BC94" s="11"/>
      <c r="BD94" s="11"/>
      <c r="BE94" s="11"/>
      <c r="BF94" s="11"/>
      <c r="BG94" s="11"/>
      <c r="BH94" s="11"/>
      <c r="BI94" s="11"/>
    </row>
    <row r="95" spans="31:61">
      <c r="AE95" s="56"/>
      <c r="AF95" s="56"/>
      <c r="AZ95" s="11"/>
      <c r="BA95" s="11"/>
      <c r="BB95" s="11"/>
      <c r="BC95" s="11"/>
      <c r="BD95" s="11"/>
      <c r="BE95" s="11"/>
      <c r="BF95" s="11"/>
      <c r="BG95" s="11"/>
      <c r="BH95" s="11"/>
      <c r="BI95" s="11"/>
    </row>
    <row r="96" spans="31:61">
      <c r="AE96" s="56"/>
      <c r="AF96" s="56"/>
      <c r="AZ96" s="11"/>
      <c r="BA96" s="11"/>
      <c r="BB96" s="11"/>
      <c r="BC96" s="11"/>
      <c r="BD96" s="11"/>
      <c r="BE96" s="11"/>
      <c r="BF96" s="11"/>
      <c r="BG96" s="11"/>
      <c r="BH96" s="11"/>
      <c r="BI96" s="11"/>
    </row>
    <row r="97" spans="31:61">
      <c r="AE97" s="56"/>
      <c r="AF97" s="56"/>
      <c r="AZ97" s="11"/>
      <c r="BA97" s="11"/>
      <c r="BB97" s="11"/>
      <c r="BC97" s="11"/>
      <c r="BD97" s="11"/>
      <c r="BE97" s="11"/>
      <c r="BF97" s="11"/>
      <c r="BG97" s="11"/>
      <c r="BH97" s="11"/>
      <c r="BI97" s="11"/>
    </row>
    <row r="98" spans="31:61">
      <c r="AE98" s="56"/>
      <c r="AF98" s="56"/>
      <c r="AZ98" s="11"/>
      <c r="BA98" s="11"/>
      <c r="BB98" s="11"/>
      <c r="BC98" s="11"/>
      <c r="BD98" s="11"/>
      <c r="BE98" s="11"/>
      <c r="BF98" s="11"/>
      <c r="BG98" s="11"/>
      <c r="BH98" s="11"/>
      <c r="BI98" s="11"/>
    </row>
    <row r="99" spans="31:61">
      <c r="AE99" s="56"/>
      <c r="AF99" s="56"/>
      <c r="AZ99" s="11"/>
      <c r="BA99" s="11"/>
      <c r="BB99" s="11"/>
      <c r="BC99" s="11"/>
      <c r="BD99" s="11"/>
      <c r="BE99" s="11"/>
      <c r="BF99" s="11"/>
      <c r="BG99" s="11"/>
      <c r="BH99" s="11"/>
      <c r="BI99" s="11"/>
    </row>
    <row r="100" spans="31:61">
      <c r="AE100" s="56"/>
      <c r="AF100" s="56"/>
      <c r="AZ100" s="11"/>
      <c r="BA100" s="11"/>
      <c r="BB100" s="11"/>
      <c r="BC100" s="11"/>
      <c r="BD100" s="11"/>
      <c r="BE100" s="11"/>
      <c r="BF100" s="11"/>
      <c r="BG100" s="11"/>
      <c r="BH100" s="11"/>
      <c r="BI100" s="11"/>
    </row>
    <row r="101" spans="31:61">
      <c r="AE101" s="56"/>
      <c r="AF101" s="56"/>
      <c r="AZ101" s="11"/>
      <c r="BA101" s="11"/>
      <c r="BB101" s="11"/>
      <c r="BC101" s="11"/>
      <c r="BD101" s="11"/>
      <c r="BE101" s="11"/>
      <c r="BF101" s="11"/>
      <c r="BG101" s="11"/>
      <c r="BH101" s="11"/>
      <c r="BI101" s="11"/>
    </row>
    <row r="102" spans="31:61">
      <c r="AE102" s="56"/>
      <c r="AF102" s="56"/>
      <c r="AZ102" s="11"/>
      <c r="BA102" s="11"/>
      <c r="BB102" s="11"/>
      <c r="BC102" s="11"/>
      <c r="BD102" s="11"/>
      <c r="BE102" s="11"/>
      <c r="BF102" s="11"/>
      <c r="BG102" s="11"/>
      <c r="BH102" s="11"/>
      <c r="BI102" s="11"/>
    </row>
    <row r="103" spans="31:61">
      <c r="AE103" s="56"/>
      <c r="AF103" s="56"/>
      <c r="AZ103" s="11"/>
      <c r="BA103" s="11"/>
      <c r="BB103" s="11"/>
      <c r="BC103" s="11"/>
      <c r="BD103" s="11"/>
      <c r="BE103" s="11"/>
      <c r="BF103" s="11"/>
      <c r="BG103" s="11"/>
      <c r="BH103" s="11"/>
      <c r="BI103" s="11"/>
    </row>
    <row r="104" spans="31:61">
      <c r="AE104" s="56"/>
      <c r="AF104" s="56"/>
      <c r="AZ104" s="11"/>
      <c r="BA104" s="11"/>
      <c r="BB104" s="11"/>
      <c r="BC104" s="11"/>
      <c r="BD104" s="11"/>
      <c r="BE104" s="11"/>
      <c r="BF104" s="11"/>
      <c r="BG104" s="11"/>
      <c r="BH104" s="11"/>
      <c r="BI104" s="11"/>
    </row>
    <row r="105" spans="31:61">
      <c r="AE105" s="56"/>
      <c r="AF105" s="56"/>
      <c r="AZ105" s="11"/>
      <c r="BA105" s="11"/>
      <c r="BB105" s="11"/>
      <c r="BC105" s="11"/>
      <c r="BD105" s="11"/>
      <c r="BE105" s="11"/>
      <c r="BF105" s="11"/>
      <c r="BG105" s="11"/>
      <c r="BH105" s="11"/>
      <c r="BI105" s="11"/>
    </row>
    <row r="106" spans="31:61">
      <c r="AE106" s="56"/>
      <c r="AF106" s="56"/>
      <c r="AZ106" s="11"/>
      <c r="BA106" s="11"/>
      <c r="BB106" s="11"/>
      <c r="BC106" s="11"/>
      <c r="BD106" s="11"/>
      <c r="BE106" s="11"/>
      <c r="BF106" s="11"/>
      <c r="BG106" s="11"/>
      <c r="BH106" s="11"/>
      <c r="BI106" s="11"/>
    </row>
    <row r="107" spans="31:61">
      <c r="AE107" s="56"/>
      <c r="AF107" s="56"/>
      <c r="AZ107" s="11"/>
      <c r="BA107" s="11"/>
      <c r="BB107" s="11"/>
      <c r="BC107" s="11"/>
      <c r="BD107" s="11"/>
      <c r="BE107" s="11"/>
      <c r="BF107" s="11"/>
      <c r="BG107" s="11"/>
      <c r="BH107" s="11"/>
      <c r="BI107" s="11"/>
    </row>
    <row r="108" spans="31:61">
      <c r="AE108" s="56"/>
      <c r="AF108" s="56"/>
      <c r="AZ108" s="11"/>
      <c r="BA108" s="11"/>
      <c r="BB108" s="11"/>
      <c r="BC108" s="11"/>
      <c r="BD108" s="11"/>
      <c r="BE108" s="11"/>
      <c r="BF108" s="11"/>
      <c r="BG108" s="11"/>
      <c r="BH108" s="11"/>
      <c r="BI108" s="11"/>
    </row>
    <row r="109" spans="31:61">
      <c r="AE109" s="56"/>
      <c r="AF109" s="56"/>
      <c r="AZ109" s="11"/>
      <c r="BA109" s="11"/>
      <c r="BB109" s="11"/>
      <c r="BC109" s="11"/>
      <c r="BD109" s="11"/>
      <c r="BE109" s="11"/>
      <c r="BF109" s="11"/>
      <c r="BG109" s="11"/>
      <c r="BH109" s="11"/>
      <c r="BI109" s="11"/>
    </row>
    <row r="110" spans="31:61">
      <c r="AE110" s="56"/>
      <c r="AF110" s="56"/>
      <c r="AZ110" s="11"/>
      <c r="BA110" s="11"/>
      <c r="BB110" s="11"/>
      <c r="BC110" s="11"/>
      <c r="BD110" s="11"/>
      <c r="BE110" s="11"/>
      <c r="BF110" s="11"/>
      <c r="BG110" s="11"/>
      <c r="BH110" s="11"/>
      <c r="BI110" s="11"/>
    </row>
    <row r="111" spans="31:61">
      <c r="AE111" s="56"/>
      <c r="AF111" s="56"/>
      <c r="AZ111" s="11"/>
      <c r="BA111" s="11"/>
      <c r="BB111" s="11"/>
      <c r="BC111" s="11"/>
      <c r="BD111" s="11"/>
      <c r="BE111" s="11"/>
      <c r="BF111" s="11"/>
      <c r="BG111" s="11"/>
      <c r="BH111" s="11"/>
      <c r="BI111" s="11"/>
    </row>
    <row r="112" spans="31:61">
      <c r="AE112" s="56"/>
      <c r="AF112" s="56"/>
      <c r="AZ112" s="11"/>
      <c r="BA112" s="11"/>
      <c r="BB112" s="11"/>
      <c r="BC112" s="11"/>
      <c r="BD112" s="11"/>
      <c r="BE112" s="11"/>
      <c r="BF112" s="11"/>
      <c r="BG112" s="11"/>
      <c r="BH112" s="11"/>
      <c r="BI112" s="11"/>
    </row>
    <row r="113" spans="31:61">
      <c r="AE113" s="56"/>
      <c r="AF113" s="56"/>
      <c r="AZ113" s="11"/>
      <c r="BA113" s="11"/>
      <c r="BB113" s="11"/>
      <c r="BC113" s="11"/>
      <c r="BD113" s="11"/>
      <c r="BE113" s="11"/>
      <c r="BF113" s="11"/>
      <c r="BG113" s="11"/>
      <c r="BH113" s="11"/>
      <c r="BI113" s="11"/>
    </row>
    <row r="114" spans="31:61">
      <c r="AE114" s="56"/>
      <c r="AF114" s="56"/>
      <c r="AZ114" s="11"/>
      <c r="BA114" s="11"/>
      <c r="BB114" s="11"/>
      <c r="BC114" s="11"/>
      <c r="BD114" s="11"/>
      <c r="BE114" s="11"/>
      <c r="BF114" s="11"/>
      <c r="BG114" s="11"/>
      <c r="BH114" s="11"/>
      <c r="BI114" s="11"/>
    </row>
    <row r="115" spans="31:61">
      <c r="AE115" s="56"/>
      <c r="AF115" s="56"/>
      <c r="AZ115" s="11"/>
      <c r="BA115" s="11"/>
      <c r="BB115" s="11"/>
      <c r="BC115" s="11"/>
      <c r="BD115" s="11"/>
      <c r="BE115" s="11"/>
      <c r="BF115" s="11"/>
      <c r="BG115" s="11"/>
      <c r="BH115" s="11"/>
      <c r="BI115" s="11"/>
    </row>
    <row r="116" spans="31:61">
      <c r="AE116" s="56"/>
      <c r="AF116" s="56"/>
      <c r="AZ116" s="11"/>
      <c r="BA116" s="11"/>
      <c r="BB116" s="11"/>
      <c r="BC116" s="11"/>
      <c r="BD116" s="11"/>
      <c r="BE116" s="11"/>
      <c r="BF116" s="11"/>
      <c r="BG116" s="11"/>
      <c r="BH116" s="11"/>
      <c r="BI116" s="11"/>
    </row>
    <row r="117" spans="31:61">
      <c r="AE117" s="56"/>
      <c r="AF117" s="56"/>
      <c r="AZ117" s="11"/>
      <c r="BA117" s="11"/>
      <c r="BB117" s="11"/>
      <c r="BC117" s="11"/>
      <c r="BD117" s="11"/>
      <c r="BE117" s="11"/>
      <c r="BF117" s="11"/>
      <c r="BG117" s="11"/>
      <c r="BH117" s="11"/>
      <c r="BI117" s="11"/>
    </row>
    <row r="118" spans="31:61">
      <c r="AE118" s="56"/>
      <c r="AF118" s="56"/>
      <c r="AZ118" s="11"/>
      <c r="BA118" s="11"/>
      <c r="BB118" s="11"/>
      <c r="BC118" s="11"/>
      <c r="BD118" s="11"/>
      <c r="BE118" s="11"/>
      <c r="BF118" s="11"/>
      <c r="BG118" s="11"/>
      <c r="BH118" s="11"/>
      <c r="BI118" s="11"/>
    </row>
    <row r="119" spans="31:61">
      <c r="AE119" s="56"/>
      <c r="AF119" s="56"/>
      <c r="AZ119" s="11"/>
      <c r="BA119" s="11"/>
      <c r="BB119" s="11"/>
      <c r="BC119" s="11"/>
      <c r="BD119" s="11"/>
      <c r="BE119" s="11"/>
      <c r="BF119" s="11"/>
      <c r="BG119" s="11"/>
      <c r="BH119" s="11"/>
      <c r="BI119" s="11"/>
    </row>
    <row r="120" spans="31:61">
      <c r="AE120" s="56"/>
      <c r="AF120" s="56"/>
      <c r="AZ120" s="11"/>
      <c r="BA120" s="11"/>
      <c r="BB120" s="11"/>
      <c r="BC120" s="11"/>
      <c r="BD120" s="11"/>
      <c r="BE120" s="11"/>
      <c r="BF120" s="11"/>
      <c r="BG120" s="11"/>
      <c r="BH120" s="11"/>
      <c r="BI120" s="11"/>
    </row>
    <row r="121" spans="31:61">
      <c r="AE121" s="56"/>
      <c r="AF121" s="56"/>
      <c r="AZ121" s="11"/>
      <c r="BA121" s="11"/>
      <c r="BB121" s="11"/>
      <c r="BC121" s="11"/>
      <c r="BD121" s="11"/>
      <c r="BE121" s="11"/>
      <c r="BF121" s="11"/>
      <c r="BG121" s="11"/>
      <c r="BH121" s="11"/>
      <c r="BI121" s="11"/>
    </row>
    <row r="122" spans="31:61">
      <c r="AE122" s="56"/>
      <c r="AF122" s="56"/>
      <c r="AZ122" s="11"/>
      <c r="BA122" s="11"/>
      <c r="BB122" s="11"/>
      <c r="BC122" s="11"/>
      <c r="BD122" s="11"/>
      <c r="BE122" s="11"/>
      <c r="BF122" s="11"/>
      <c r="BG122" s="11"/>
      <c r="BH122" s="11"/>
      <c r="BI122" s="11"/>
    </row>
    <row r="123" spans="31:61">
      <c r="AE123" s="56"/>
      <c r="AZ123" s="11"/>
      <c r="BA123" s="11"/>
      <c r="BB123" s="11"/>
      <c r="BC123" s="11"/>
      <c r="BD123" s="11"/>
      <c r="BE123" s="11"/>
      <c r="BF123" s="11"/>
      <c r="BG123" s="11"/>
      <c r="BH123" s="11"/>
      <c r="BI123" s="11"/>
    </row>
    <row r="124" spans="31:61">
      <c r="AE124" s="56"/>
      <c r="AZ124" s="11"/>
      <c r="BA124" s="11"/>
      <c r="BB124" s="11"/>
      <c r="BC124" s="11"/>
      <c r="BD124" s="11"/>
      <c r="BE124" s="11"/>
      <c r="BF124" s="11"/>
      <c r="BG124" s="11"/>
      <c r="BH124" s="11"/>
      <c r="BI124" s="11"/>
    </row>
    <row r="125" spans="31:61">
      <c r="AE125" s="56"/>
      <c r="AZ125" s="11"/>
      <c r="BA125" s="11"/>
      <c r="BB125" s="11"/>
      <c r="BC125" s="11"/>
      <c r="BD125" s="11"/>
      <c r="BE125" s="11"/>
      <c r="BF125" s="11"/>
      <c r="BG125" s="11"/>
      <c r="BH125" s="11"/>
      <c r="BI125" s="11"/>
    </row>
    <row r="126" spans="31:61">
      <c r="AZ126" s="11"/>
      <c r="BA126" s="11"/>
      <c r="BB126" s="11"/>
      <c r="BC126" s="11"/>
      <c r="BD126" s="11"/>
      <c r="BE126" s="11"/>
      <c r="BF126" s="11"/>
      <c r="BG126" s="11"/>
      <c r="BH126" s="11"/>
      <c r="BI126" s="11"/>
    </row>
    <row r="127" spans="31:61">
      <c r="AZ127" s="11"/>
      <c r="BA127" s="11"/>
      <c r="BB127" s="11"/>
      <c r="BC127" s="11"/>
      <c r="BD127" s="11"/>
      <c r="BE127" s="11"/>
      <c r="BF127" s="11"/>
      <c r="BG127" s="11"/>
      <c r="BH127" s="11"/>
      <c r="BI127" s="11"/>
    </row>
    <row r="128" spans="31:61">
      <c r="AZ128" s="11"/>
      <c r="BA128" s="11"/>
      <c r="BB128" s="11"/>
      <c r="BC128" s="11"/>
      <c r="BD128" s="11"/>
      <c r="BE128" s="11"/>
      <c r="BF128" s="11"/>
      <c r="BG128" s="11"/>
      <c r="BH128" s="11"/>
      <c r="BI128" s="11"/>
    </row>
  </sheetData>
  <mergeCells count="131">
    <mergeCell ref="AK72:AQ72"/>
    <mergeCell ref="AZ1:BF1"/>
    <mergeCell ref="AW1:AY1"/>
    <mergeCell ref="AS3:AY3"/>
    <mergeCell ref="AX2:AY2"/>
    <mergeCell ref="BE4:BI4"/>
    <mergeCell ref="AY5:AY6"/>
    <mergeCell ref="BH2:BI2"/>
    <mergeCell ref="BG1:BI1"/>
    <mergeCell ref="AZ3:BF3"/>
    <mergeCell ref="AP3:AQ3"/>
    <mergeCell ref="AO1:AQ1"/>
    <mergeCell ref="AP2:AQ2"/>
    <mergeCell ref="AJ1:AK1"/>
    <mergeCell ref="AO5:AO6"/>
    <mergeCell ref="AK5:AK6"/>
    <mergeCell ref="AQ5:AQ6"/>
    <mergeCell ref="AJ4:AM4"/>
    <mergeCell ref="AJ3:AN3"/>
    <mergeCell ref="AN4:AQ4"/>
    <mergeCell ref="AT5:AT6"/>
    <mergeCell ref="AN5:AN6"/>
    <mergeCell ref="AR4:AR7"/>
    <mergeCell ref="AS4:AV4"/>
    <mergeCell ref="BL3:BR3"/>
    <mergeCell ref="BA74:BI74"/>
    <mergeCell ref="BL72:BT72"/>
    <mergeCell ref="BA73:BI73"/>
    <mergeCell ref="BE5:BF5"/>
    <mergeCell ref="BD4:BD6"/>
    <mergeCell ref="AW5:AW6"/>
    <mergeCell ref="BL71:BT71"/>
    <mergeCell ref="BB5:BB6"/>
    <mergeCell ref="BT4:BT6"/>
    <mergeCell ref="BR5:BR6"/>
    <mergeCell ref="BA72:BI72"/>
    <mergeCell ref="AZ4:BB4"/>
    <mergeCell ref="BC4:BC6"/>
    <mergeCell ref="BL74:BM74"/>
    <mergeCell ref="BL4:BP4"/>
    <mergeCell ref="BM5:BM6"/>
    <mergeCell ref="BQ4:BQ6"/>
    <mergeCell ref="BJ4:BK7"/>
    <mergeCell ref="BI5:BI6"/>
    <mergeCell ref="BH3:BI3"/>
    <mergeCell ref="AZ5:AZ6"/>
    <mergeCell ref="AX5:AX6"/>
    <mergeCell ref="BG5:BH5"/>
    <mergeCell ref="AF1:AI1"/>
    <mergeCell ref="AJ5:AJ6"/>
    <mergeCell ref="AH2:AI2"/>
    <mergeCell ref="X1:Z1"/>
    <mergeCell ref="Y5:Y6"/>
    <mergeCell ref="AH3:AI3"/>
    <mergeCell ref="AF4:AI4"/>
    <mergeCell ref="AI5:AI6"/>
    <mergeCell ref="AG5:AG6"/>
    <mergeCell ref="AH5:AH6"/>
    <mergeCell ref="I1:R1"/>
    <mergeCell ref="AB4:AE4"/>
    <mergeCell ref="AA4:AA7"/>
    <mergeCell ref="AD5:AD6"/>
    <mergeCell ref="AE5:AE6"/>
    <mergeCell ref="N4:N6"/>
    <mergeCell ref="O4:O6"/>
    <mergeCell ref="W4:Z4"/>
    <mergeCell ref="Y2:Z2"/>
    <mergeCell ref="Q2:R2"/>
    <mergeCell ref="I4:J7"/>
    <mergeCell ref="K5:K6"/>
    <mergeCell ref="AW4:AY4"/>
    <mergeCell ref="AV5:AV6"/>
    <mergeCell ref="BA5:BA6"/>
    <mergeCell ref="Q3:R3"/>
    <mergeCell ref="U5:U6"/>
    <mergeCell ref="Z5:Z6"/>
    <mergeCell ref="AB3:AF3"/>
    <mergeCell ref="S3:W3"/>
    <mergeCell ref="V4:V6"/>
    <mergeCell ref="W5:W6"/>
    <mergeCell ref="AU5:AU6"/>
    <mergeCell ref="AS5:AS6"/>
    <mergeCell ref="AP5:AP6"/>
    <mergeCell ref="AK71:AQ71"/>
    <mergeCell ref="CB3:CC3"/>
    <mergeCell ref="BU4:BU6"/>
    <mergeCell ref="BZ5:BZ6"/>
    <mergeCell ref="BV5:BV6"/>
    <mergeCell ref="BU3:BZ3"/>
    <mergeCell ref="BY5:BY6"/>
    <mergeCell ref="K73:R73"/>
    <mergeCell ref="AB73:AI73"/>
    <mergeCell ref="K72:R72"/>
    <mergeCell ref="T71:Z71"/>
    <mergeCell ref="AB72:AI72"/>
    <mergeCell ref="AB71:AI71"/>
    <mergeCell ref="T72:U72"/>
    <mergeCell ref="K71:R71"/>
    <mergeCell ref="CA5:CC5"/>
    <mergeCell ref="L5:L6"/>
    <mergeCell ref="S5:T5"/>
    <mergeCell ref="P4:R4"/>
    <mergeCell ref="S4:U4"/>
    <mergeCell ref="Q5:Q6"/>
    <mergeCell ref="M5:M6"/>
    <mergeCell ref="X5:X6"/>
    <mergeCell ref="K4:M4"/>
    <mergeCell ref="C25:G26"/>
    <mergeCell ref="BT2:BU2"/>
    <mergeCell ref="CD5:CF5"/>
    <mergeCell ref="BV4:CF4"/>
    <mergeCell ref="C20:G21"/>
    <mergeCell ref="BL5:BL6"/>
    <mergeCell ref="BN5:BN6"/>
    <mergeCell ref="BO5:BO6"/>
    <mergeCell ref="CD1:CF1"/>
    <mergeCell ref="CE2:CF2"/>
    <mergeCell ref="BV1:BX1"/>
    <mergeCell ref="BR1:BU1"/>
    <mergeCell ref="BV2:BW2"/>
    <mergeCell ref="BW5:BW6"/>
    <mergeCell ref="P5:P6"/>
    <mergeCell ref="BX5:BX6"/>
    <mergeCell ref="BP5:BP6"/>
    <mergeCell ref="BR4:BS4"/>
    <mergeCell ref="BS5:BS6"/>
    <mergeCell ref="AC5:AC6"/>
    <mergeCell ref="AF5:AF6"/>
    <mergeCell ref="AB5:AB6"/>
    <mergeCell ref="AL5:AL6"/>
    <mergeCell ref="AM5:AM6"/>
  </mergeCells>
  <phoneticPr fontId="3" type="noConversion"/>
  <conditionalFormatting sqref="I64 AA64 I39:I62 AA39:AA62 AR39:AR62 BJ39:BJ62 AR64 BJ64">
    <cfRule type="expression" priority="65" stopIfTrue="1">
      <formula>MOD(row,0)=0</formula>
    </cfRule>
  </conditionalFormatting>
  <conditionalFormatting sqref="AR64 I64 AA64 BJ64">
    <cfRule type="expression" dxfId="48" priority="61" stopIfTrue="1">
      <formula>MOD(ROW(),2)=1</formula>
    </cfRule>
  </conditionalFormatting>
  <conditionalFormatting sqref="AR64 I64 AA64 BJ64">
    <cfRule type="expression" dxfId="47" priority="59" stopIfTrue="1">
      <formula>MOD(ROW(),2)=1</formula>
    </cfRule>
    <cfRule type="expression" priority="60" stopIfTrue="1">
      <formula>MOD(ROW(),2)=1</formula>
    </cfRule>
  </conditionalFormatting>
  <conditionalFormatting sqref="AR64 I64 AA64 BJ64">
    <cfRule type="expression" priority="57" stopIfTrue="1">
      <formula>MOD((((#REF!))),0)=0</formula>
    </cfRule>
  </conditionalFormatting>
  <conditionalFormatting sqref="AA64">
    <cfRule type="expression" dxfId="46" priority="30" stopIfTrue="1">
      <formula>MOD(ROW(),2)=1</formula>
    </cfRule>
  </conditionalFormatting>
  <conditionalFormatting sqref="AA64">
    <cfRule type="expression" dxfId="45" priority="28" stopIfTrue="1">
      <formula>MOD(ROW(),2)=1</formula>
    </cfRule>
    <cfRule type="expression" priority="29" stopIfTrue="1">
      <formula>MOD(ROW(),2)=1</formula>
    </cfRule>
  </conditionalFormatting>
  <conditionalFormatting sqref="AA64">
    <cfRule type="expression" priority="27" stopIfTrue="1">
      <formula>MOD(row,0)=0</formula>
    </cfRule>
  </conditionalFormatting>
  <conditionalFormatting sqref="AA64">
    <cfRule type="expression" priority="26" stopIfTrue="1">
      <formula>MOD((((#REF!))),0)=0</formula>
    </cfRule>
  </conditionalFormatting>
  <conditionalFormatting sqref="AA64">
    <cfRule type="expression" dxfId="44" priority="25" stopIfTrue="1">
      <formula>MOD(ROW(),2)=1</formula>
    </cfRule>
  </conditionalFormatting>
  <conditionalFormatting sqref="AA64">
    <cfRule type="expression" dxfId="43" priority="23" stopIfTrue="1">
      <formula>MOD(ROW(),2)=1</formula>
    </cfRule>
    <cfRule type="expression" priority="24" stopIfTrue="1">
      <formula>MOD(ROW(),2)=1</formula>
    </cfRule>
  </conditionalFormatting>
  <conditionalFormatting sqref="AA64">
    <cfRule type="expression" priority="22" stopIfTrue="1">
      <formula>MOD(row,0)=0</formula>
    </cfRule>
  </conditionalFormatting>
  <conditionalFormatting sqref="AA64">
    <cfRule type="expression" priority="21" stopIfTrue="1">
      <formula>MOD((((#REF!))),0)=0</formula>
    </cfRule>
  </conditionalFormatting>
  <conditionalFormatting sqref="AR64">
    <cfRule type="expression" dxfId="42" priority="20" stopIfTrue="1">
      <formula>MOD(ROW(),2)=1</formula>
    </cfRule>
  </conditionalFormatting>
  <conditionalFormatting sqref="AR64">
    <cfRule type="expression" dxfId="41" priority="18" stopIfTrue="1">
      <formula>MOD(ROW(),2)=1</formula>
    </cfRule>
    <cfRule type="expression" priority="19" stopIfTrue="1">
      <formula>MOD(ROW(),2)=1</formula>
    </cfRule>
  </conditionalFormatting>
  <conditionalFormatting sqref="AR64">
    <cfRule type="expression" priority="17" stopIfTrue="1">
      <formula>MOD(row,0)=0</formula>
    </cfRule>
  </conditionalFormatting>
  <conditionalFormatting sqref="AR64">
    <cfRule type="expression" priority="16" stopIfTrue="1">
      <formula>MOD((((#REF!))),0)=0</formula>
    </cfRule>
  </conditionalFormatting>
  <conditionalFormatting sqref="AR64">
    <cfRule type="expression" dxfId="40" priority="15" stopIfTrue="1">
      <formula>MOD(ROW(),2)=1</formula>
    </cfRule>
  </conditionalFormatting>
  <conditionalFormatting sqref="AR64">
    <cfRule type="expression" dxfId="39" priority="13" stopIfTrue="1">
      <formula>MOD(ROW(),2)=1</formula>
    </cfRule>
    <cfRule type="expression" priority="14" stopIfTrue="1">
      <formula>MOD(ROW(),2)=1</formula>
    </cfRule>
  </conditionalFormatting>
  <conditionalFormatting sqref="AR64">
    <cfRule type="expression" priority="12" stopIfTrue="1">
      <formula>MOD(row,0)=0</formula>
    </cfRule>
  </conditionalFormatting>
  <conditionalFormatting sqref="AR64">
    <cfRule type="expression" priority="11" stopIfTrue="1">
      <formula>MOD((((#REF!))),0)=0</formula>
    </cfRule>
  </conditionalFormatting>
  <conditionalFormatting sqref="BJ64">
    <cfRule type="expression" dxfId="38" priority="10" stopIfTrue="1">
      <formula>MOD(ROW(),2)=1</formula>
    </cfRule>
  </conditionalFormatting>
  <conditionalFormatting sqref="BJ64">
    <cfRule type="expression" dxfId="37" priority="8" stopIfTrue="1">
      <formula>MOD(ROW(),2)=1</formula>
    </cfRule>
    <cfRule type="expression" priority="9" stopIfTrue="1">
      <formula>MOD(ROW(),2)=1</formula>
    </cfRule>
  </conditionalFormatting>
  <conditionalFormatting sqref="BJ64">
    <cfRule type="expression" priority="7" stopIfTrue="1">
      <formula>MOD(row,0)=0</formula>
    </cfRule>
  </conditionalFormatting>
  <conditionalFormatting sqref="BJ64">
    <cfRule type="expression" priority="6" stopIfTrue="1">
      <formula>MOD((((#REF!))),0)=0</formula>
    </cfRule>
  </conditionalFormatting>
  <conditionalFormatting sqref="BJ64">
    <cfRule type="expression" dxfId="36" priority="5" stopIfTrue="1">
      <formula>MOD(ROW(),2)=1</formula>
    </cfRule>
  </conditionalFormatting>
  <conditionalFormatting sqref="BJ64">
    <cfRule type="expression" dxfId="35" priority="3" stopIfTrue="1">
      <formula>MOD(ROW(),2)=1</formula>
    </cfRule>
    <cfRule type="expression" priority="4" stopIfTrue="1">
      <formula>MOD(ROW(),2)=1</formula>
    </cfRule>
  </conditionalFormatting>
  <conditionalFormatting sqref="BJ64">
    <cfRule type="expression" priority="2" stopIfTrue="1">
      <formula>MOD(row,0)=0</formula>
    </cfRule>
  </conditionalFormatting>
  <conditionalFormatting sqref="BJ64">
    <cfRule type="expression" priority="1" stopIfTrue="1">
      <formula>MOD((((#REF!))),0)=0</formula>
    </cfRule>
  </conditionalFormatting>
  <pageMargins left="0.62992125984252001" right="0.511811023622047" top="0.31496062992126" bottom="2.5590551E-2" header="0" footer="6.4960630000000005E-2"/>
  <pageSetup paperSize="512" orientation="portrait" useFirstPageNumber="1" r:id="rId1"/>
  <headerFooter differentFirst="1" alignWithMargins="0">
    <oddFooter>&amp;C&amp;"Times New Roman,Regular"&amp;8&amp;P</oddFooter>
  </headerFooter>
  <colBreaks count="1" manualBreakCount="1">
    <brk id="8" max="1048575" man="1"/>
  </colBreaks>
  <ignoredErrors>
    <ignoredError sqref="M25 T25:U25 W25:X25 AE25 AI25 AM25:AQ25 AY25:BB25 BD25 BI25 BV25:CF25 BT25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BR96"/>
  <sheetViews>
    <sheetView zoomScale="120" zoomScaleNormal="120" workbookViewId="0">
      <pane xSplit="2" ySplit="8" topLeftCell="F68" activePane="bottomRight" state="frozen"/>
      <selection pane="topRight" activeCell="C1" sqref="C1"/>
      <selection pane="bottomLeft" activeCell="A9" sqref="A9"/>
      <selection pane="bottomRight" activeCell="M81" sqref="M81"/>
    </sheetView>
  </sheetViews>
  <sheetFormatPr defaultColWidth="9.140625" defaultRowHeight="11.25"/>
  <cols>
    <col min="1" max="1" width="8" style="10" customWidth="1"/>
    <col min="2" max="2" width="1" style="10" customWidth="1"/>
    <col min="3" max="4" width="9.28515625" style="10" customWidth="1"/>
    <col min="5" max="5" width="9.5703125" style="10" customWidth="1"/>
    <col min="6" max="6" width="9.28515625" style="10" customWidth="1"/>
    <col min="7" max="7" width="9.140625" style="10" customWidth="1"/>
    <col min="8" max="8" width="8" style="10" customWidth="1"/>
    <col min="9" max="9" width="6.42578125" style="10" customWidth="1"/>
    <col min="10" max="10" width="7" style="10" customWidth="1"/>
    <col min="11" max="11" width="6.7109375" style="10" customWidth="1"/>
    <col min="12" max="12" width="12.28515625" style="10" customWidth="1"/>
    <col min="13" max="13" width="14.5703125" style="10" customWidth="1"/>
    <col min="14" max="14" width="11" style="10" customWidth="1"/>
    <col min="15" max="15" width="14.140625" style="10" customWidth="1"/>
    <col min="16" max="16" width="15" style="10" customWidth="1"/>
    <col min="17" max="17" width="10.85546875" style="10" customWidth="1"/>
    <col min="18" max="16384" width="9.140625" style="10"/>
  </cols>
  <sheetData>
    <row r="1" spans="1:70" s="50" customFormat="1" ht="15.75">
      <c r="A1" s="1775"/>
      <c r="B1" s="1775"/>
      <c r="C1" s="1775"/>
      <c r="D1" s="1775"/>
      <c r="E1" s="1775"/>
      <c r="F1" s="1775"/>
      <c r="G1" s="1775"/>
      <c r="H1" s="1740" t="s">
        <v>327</v>
      </c>
      <c r="I1" s="1740"/>
      <c r="J1" s="1740"/>
      <c r="K1" s="1740"/>
      <c r="L1" s="60" t="s">
        <v>865</v>
      </c>
      <c r="M1" s="51"/>
      <c r="N1" s="51"/>
      <c r="O1" s="51"/>
      <c r="P1" s="1760" t="s">
        <v>492</v>
      </c>
      <c r="Q1" s="1760"/>
      <c r="R1" s="51"/>
      <c r="S1" s="51"/>
      <c r="T1" s="51"/>
    </row>
    <row r="2" spans="1:70" s="2" customFormat="1" ht="12.75" customHeight="1">
      <c r="A2" s="347"/>
      <c r="B2" s="347"/>
      <c r="C2" s="347"/>
      <c r="D2" s="347"/>
      <c r="E2" s="347"/>
      <c r="F2" s="347"/>
      <c r="G2" s="1759" t="s">
        <v>1723</v>
      </c>
      <c r="H2" s="1759"/>
      <c r="I2" s="1759"/>
      <c r="J2" s="1759"/>
      <c r="K2" s="1759"/>
      <c r="L2" s="312" t="s">
        <v>423</v>
      </c>
      <c r="M2" s="312"/>
      <c r="P2" s="1761"/>
      <c r="Q2" s="1761"/>
    </row>
    <row r="3" spans="1:70" s="57" customFormat="1" ht="3.75" customHeight="1"/>
    <row r="4" spans="1:70" s="326" customFormat="1" ht="23.25" customHeight="1">
      <c r="A4" s="1783" t="s">
        <v>1132</v>
      </c>
      <c r="B4" s="1784"/>
      <c r="C4" s="1753" t="s">
        <v>1815</v>
      </c>
      <c r="D4" s="1754"/>
      <c r="E4" s="1754"/>
      <c r="F4" s="1755"/>
      <c r="G4" s="1762" t="s">
        <v>1231</v>
      </c>
      <c r="H4" s="1763"/>
      <c r="I4" s="1763"/>
      <c r="J4" s="1763"/>
      <c r="K4" s="1764"/>
      <c r="L4" s="1772" t="s">
        <v>1410</v>
      </c>
      <c r="M4" s="1773"/>
      <c r="N4" s="1774"/>
      <c r="O4" s="1772" t="s">
        <v>825</v>
      </c>
      <c r="P4" s="1774"/>
      <c r="Q4" s="1769" t="s">
        <v>1132</v>
      </c>
    </row>
    <row r="5" spans="1:70" s="326" customFormat="1" ht="23.25" customHeight="1">
      <c r="A5" s="1785"/>
      <c r="B5" s="1786"/>
      <c r="C5" s="1756"/>
      <c r="D5" s="1757"/>
      <c r="E5" s="1757"/>
      <c r="F5" s="1758"/>
      <c r="G5" s="1692" t="s">
        <v>486</v>
      </c>
      <c r="H5" s="1692"/>
      <c r="I5" s="1708" t="s">
        <v>1837</v>
      </c>
      <c r="J5" s="1708"/>
      <c r="K5" s="1708"/>
      <c r="L5" s="1767" t="s">
        <v>488</v>
      </c>
      <c r="M5" s="1768"/>
      <c r="N5" s="1700" t="s">
        <v>2019</v>
      </c>
      <c r="O5" s="1765" t="s">
        <v>2534</v>
      </c>
      <c r="P5" s="1766"/>
      <c r="Q5" s="1770"/>
    </row>
    <row r="6" spans="1:70" s="326" customFormat="1" ht="21.75" customHeight="1">
      <c r="A6" s="1785"/>
      <c r="B6" s="1786"/>
      <c r="C6" s="1778" t="s">
        <v>1811</v>
      </c>
      <c r="D6" s="1778" t="s">
        <v>1812</v>
      </c>
      <c r="E6" s="1778" t="s">
        <v>1813</v>
      </c>
      <c r="F6" s="1778" t="s">
        <v>1814</v>
      </c>
      <c r="G6" s="1692" t="s">
        <v>1232</v>
      </c>
      <c r="H6" s="1692" t="s">
        <v>1233</v>
      </c>
      <c r="I6" s="1692" t="s">
        <v>1817</v>
      </c>
      <c r="J6" s="1692" t="s">
        <v>485</v>
      </c>
      <c r="K6" s="1692" t="s">
        <v>1141</v>
      </c>
      <c r="L6" s="1700" t="s">
        <v>2533</v>
      </c>
      <c r="M6" s="1700" t="s">
        <v>2964</v>
      </c>
      <c r="N6" s="1731"/>
      <c r="O6" s="1700" t="s">
        <v>2274</v>
      </c>
      <c r="P6" s="1700" t="s">
        <v>2273</v>
      </c>
      <c r="Q6" s="1770"/>
    </row>
    <row r="7" spans="1:70" s="326" customFormat="1" ht="14.25" customHeight="1">
      <c r="A7" s="1785"/>
      <c r="B7" s="1786"/>
      <c r="C7" s="1779"/>
      <c r="D7" s="1779"/>
      <c r="E7" s="1779"/>
      <c r="F7" s="1779"/>
      <c r="G7" s="1693"/>
      <c r="H7" s="1693"/>
      <c r="I7" s="1693"/>
      <c r="J7" s="1693"/>
      <c r="K7" s="1693"/>
      <c r="L7" s="1701"/>
      <c r="M7" s="1701"/>
      <c r="N7" s="1701"/>
      <c r="O7" s="1701"/>
      <c r="P7" s="1701"/>
      <c r="Q7" s="1770"/>
    </row>
    <row r="8" spans="1:70" s="41" customFormat="1" ht="12.75" customHeight="1">
      <c r="A8" s="1787"/>
      <c r="B8" s="1788"/>
      <c r="C8" s="647">
        <v>1</v>
      </c>
      <c r="D8" s="52">
        <v>2</v>
      </c>
      <c r="E8" s="52">
        <v>3</v>
      </c>
      <c r="F8" s="52">
        <v>4</v>
      </c>
      <c r="G8" s="52">
        <v>5</v>
      </c>
      <c r="H8" s="52">
        <v>6</v>
      </c>
      <c r="I8" s="52">
        <v>7</v>
      </c>
      <c r="J8" s="52">
        <v>8</v>
      </c>
      <c r="K8" s="52">
        <v>9</v>
      </c>
      <c r="L8" s="52">
        <v>10</v>
      </c>
      <c r="M8" s="52">
        <v>11</v>
      </c>
      <c r="N8" s="52">
        <v>12</v>
      </c>
      <c r="O8" s="52">
        <v>13</v>
      </c>
      <c r="P8" s="52">
        <v>14</v>
      </c>
      <c r="Q8" s="1771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</row>
    <row r="9" spans="1:70" s="159" customFormat="1" ht="9.1999999999999993" hidden="1" customHeight="1">
      <c r="A9" s="676" t="s">
        <v>1197</v>
      </c>
      <c r="B9" s="676"/>
      <c r="C9" s="410" t="s">
        <v>836</v>
      </c>
      <c r="D9" s="410" t="s">
        <v>836</v>
      </c>
      <c r="E9" s="410" t="s">
        <v>836</v>
      </c>
      <c r="F9" s="410">
        <v>3.96</v>
      </c>
      <c r="G9" s="410">
        <v>1611</v>
      </c>
      <c r="H9" s="410">
        <v>1478</v>
      </c>
      <c r="I9" s="410">
        <v>179</v>
      </c>
      <c r="J9" s="410">
        <v>80</v>
      </c>
      <c r="K9" s="410">
        <v>195</v>
      </c>
      <c r="L9" s="425">
        <v>4418.3</v>
      </c>
      <c r="M9" s="425">
        <v>7152</v>
      </c>
      <c r="N9" s="425">
        <v>1718.8</v>
      </c>
      <c r="O9" s="410" t="s">
        <v>836</v>
      </c>
      <c r="P9" s="410" t="s">
        <v>836</v>
      </c>
      <c r="Q9" s="690" t="s">
        <v>1197</v>
      </c>
    </row>
    <row r="10" spans="1:70" s="159" customFormat="1" ht="9.1999999999999993" customHeight="1">
      <c r="A10" s="605" t="s">
        <v>1198</v>
      </c>
      <c r="B10" s="605"/>
      <c r="C10" s="530" t="s">
        <v>836</v>
      </c>
      <c r="D10" s="530" t="s">
        <v>836</v>
      </c>
      <c r="E10" s="530" t="s">
        <v>836</v>
      </c>
      <c r="F10" s="530">
        <v>8.66</v>
      </c>
      <c r="G10" s="530">
        <v>1701</v>
      </c>
      <c r="H10" s="530">
        <v>1537</v>
      </c>
      <c r="I10" s="530">
        <v>196</v>
      </c>
      <c r="J10" s="530">
        <v>81</v>
      </c>
      <c r="K10" s="530">
        <v>215</v>
      </c>
      <c r="L10" s="521">
        <v>5161.2</v>
      </c>
      <c r="M10" s="521">
        <v>7520</v>
      </c>
      <c r="N10" s="521">
        <v>1739.2</v>
      </c>
      <c r="O10" s="530" t="s">
        <v>836</v>
      </c>
      <c r="P10" s="530" t="s">
        <v>836</v>
      </c>
      <c r="Q10" s="682" t="s">
        <v>1198</v>
      </c>
    </row>
    <row r="11" spans="1:70" s="159" customFormat="1" ht="9.1999999999999993" customHeight="1">
      <c r="A11" s="676" t="s">
        <v>1199</v>
      </c>
      <c r="B11" s="676"/>
      <c r="C11" s="410" t="s">
        <v>836</v>
      </c>
      <c r="D11" s="410" t="s">
        <v>836</v>
      </c>
      <c r="E11" s="410" t="s">
        <v>836</v>
      </c>
      <c r="F11" s="410">
        <v>7.06</v>
      </c>
      <c r="G11" s="410">
        <v>1848</v>
      </c>
      <c r="H11" s="410">
        <v>1573</v>
      </c>
      <c r="I11" s="410">
        <v>204</v>
      </c>
      <c r="J11" s="410">
        <v>72</v>
      </c>
      <c r="K11" s="410">
        <v>225</v>
      </c>
      <c r="L11" s="425">
        <v>5312.8</v>
      </c>
      <c r="M11" s="425">
        <v>8006</v>
      </c>
      <c r="N11" s="425">
        <v>1523.3</v>
      </c>
      <c r="O11" s="410" t="s">
        <v>836</v>
      </c>
      <c r="P11" s="410" t="s">
        <v>836</v>
      </c>
      <c r="Q11" s="690" t="s">
        <v>1199</v>
      </c>
    </row>
    <row r="12" spans="1:70" s="159" customFormat="1" ht="9.1999999999999993" customHeight="1">
      <c r="A12" s="605" t="s">
        <v>1200</v>
      </c>
      <c r="B12" s="605"/>
      <c r="C12" s="530" t="s">
        <v>836</v>
      </c>
      <c r="D12" s="530" t="s">
        <v>836</v>
      </c>
      <c r="E12" s="530" t="s">
        <v>836</v>
      </c>
      <c r="F12" s="530">
        <v>2.79</v>
      </c>
      <c r="G12" s="530">
        <v>1847</v>
      </c>
      <c r="H12" s="530">
        <v>1526</v>
      </c>
      <c r="I12" s="530">
        <v>214</v>
      </c>
      <c r="J12" s="530">
        <v>67</v>
      </c>
      <c r="K12" s="530">
        <v>237</v>
      </c>
      <c r="L12" s="521">
        <v>5752.2</v>
      </c>
      <c r="M12" s="521">
        <v>8374</v>
      </c>
      <c r="N12" s="521">
        <v>1602.1</v>
      </c>
      <c r="O12" s="530" t="s">
        <v>836</v>
      </c>
      <c r="P12" s="530" t="s">
        <v>836</v>
      </c>
      <c r="Q12" s="682" t="s">
        <v>1200</v>
      </c>
    </row>
    <row r="13" spans="1:70" s="159" customFormat="1" ht="9.1999999999999993" customHeight="1">
      <c r="A13" s="676" t="s">
        <v>1201</v>
      </c>
      <c r="B13" s="676"/>
      <c r="C13" s="410" t="s">
        <v>836</v>
      </c>
      <c r="D13" s="410">
        <v>1.66</v>
      </c>
      <c r="E13" s="410" t="s">
        <v>836</v>
      </c>
      <c r="F13" s="410">
        <v>1.94</v>
      </c>
      <c r="G13" s="410">
        <v>1802</v>
      </c>
      <c r="H13" s="410">
        <v>1563</v>
      </c>
      <c r="I13" s="410">
        <v>228</v>
      </c>
      <c r="J13" s="410">
        <v>66</v>
      </c>
      <c r="K13" s="410">
        <v>253</v>
      </c>
      <c r="L13" s="425">
        <v>6467.3</v>
      </c>
      <c r="M13" s="425">
        <v>9335</v>
      </c>
      <c r="N13" s="425">
        <v>1306.7</v>
      </c>
      <c r="O13" s="410" t="s">
        <v>836</v>
      </c>
      <c r="P13" s="410" t="s">
        <v>836</v>
      </c>
      <c r="Q13" s="690" t="s">
        <v>1201</v>
      </c>
    </row>
    <row r="14" spans="1:70" s="159" customFormat="1" ht="9.1999999999999993" customHeight="1">
      <c r="A14" s="605" t="s">
        <v>1202</v>
      </c>
      <c r="B14" s="605"/>
      <c r="C14" s="530" t="s">
        <v>836</v>
      </c>
      <c r="D14" s="530">
        <v>3.58</v>
      </c>
      <c r="E14" s="530" t="s">
        <v>836</v>
      </c>
      <c r="F14" s="530">
        <v>2.79</v>
      </c>
      <c r="G14" s="530">
        <v>1810</v>
      </c>
      <c r="H14" s="530">
        <v>1562</v>
      </c>
      <c r="I14" s="530">
        <v>239</v>
      </c>
      <c r="J14" s="530">
        <v>69</v>
      </c>
      <c r="K14" s="530">
        <v>267</v>
      </c>
      <c r="L14" s="521">
        <v>5986.1</v>
      </c>
      <c r="M14" s="521">
        <v>8540</v>
      </c>
      <c r="N14" s="521">
        <v>1582.9</v>
      </c>
      <c r="O14" s="530" t="s">
        <v>836</v>
      </c>
      <c r="P14" s="530" t="s">
        <v>836</v>
      </c>
      <c r="Q14" s="682" t="s">
        <v>1202</v>
      </c>
    </row>
    <row r="15" spans="1:70" s="159" customFormat="1" ht="9.1999999999999993" customHeight="1">
      <c r="A15" s="676" t="s">
        <v>1203</v>
      </c>
      <c r="B15" s="676"/>
      <c r="C15" s="410" t="s">
        <v>836</v>
      </c>
      <c r="D15" s="410">
        <v>5.03</v>
      </c>
      <c r="E15" s="410" t="s">
        <v>836</v>
      </c>
      <c r="F15" s="410">
        <v>4.38</v>
      </c>
      <c r="G15" s="410">
        <v>1922</v>
      </c>
      <c r="H15" s="410">
        <v>1610</v>
      </c>
      <c r="I15" s="410">
        <v>255</v>
      </c>
      <c r="J15" s="410">
        <v>63</v>
      </c>
      <c r="K15" s="410">
        <v>285</v>
      </c>
      <c r="L15" s="425">
        <v>6548.5</v>
      </c>
      <c r="M15" s="425">
        <v>9657.5</v>
      </c>
      <c r="N15" s="425">
        <v>2469.6</v>
      </c>
      <c r="O15" s="410" t="s">
        <v>836</v>
      </c>
      <c r="P15" s="410" t="s">
        <v>836</v>
      </c>
      <c r="Q15" s="690" t="s">
        <v>1203</v>
      </c>
    </row>
    <row r="16" spans="1:70" s="159" customFormat="1" ht="9.1999999999999993" customHeight="1">
      <c r="A16" s="605" t="s">
        <v>1204</v>
      </c>
      <c r="B16" s="605"/>
      <c r="C16" s="530" t="s">
        <v>836</v>
      </c>
      <c r="D16" s="530">
        <v>5.64</v>
      </c>
      <c r="E16" s="530" t="s">
        <v>836</v>
      </c>
      <c r="F16" s="530">
        <v>5.83</v>
      </c>
      <c r="G16" s="530">
        <v>1994</v>
      </c>
      <c r="H16" s="530">
        <v>1667</v>
      </c>
      <c r="I16" s="530">
        <v>273</v>
      </c>
      <c r="J16" s="530">
        <v>60</v>
      </c>
      <c r="K16" s="530">
        <v>308</v>
      </c>
      <c r="L16" s="521">
        <v>7603</v>
      </c>
      <c r="M16" s="521">
        <v>10903.2</v>
      </c>
      <c r="N16" s="521">
        <v>2705</v>
      </c>
      <c r="O16" s="681">
        <v>58.902700000000003</v>
      </c>
      <c r="P16" s="681">
        <v>60.347200000000001</v>
      </c>
      <c r="Q16" s="682" t="s">
        <v>1204</v>
      </c>
    </row>
    <row r="17" spans="1:23" s="159" customFormat="1" ht="9.1999999999999993" customHeight="1">
      <c r="A17" s="676" t="s">
        <v>1205</v>
      </c>
      <c r="B17" s="676"/>
      <c r="C17" s="410" t="s">
        <v>836</v>
      </c>
      <c r="D17" s="410">
        <v>7.35</v>
      </c>
      <c r="E17" s="410" t="s">
        <v>836</v>
      </c>
      <c r="F17" s="410">
        <v>6.48</v>
      </c>
      <c r="G17" s="410">
        <v>2060</v>
      </c>
      <c r="H17" s="410">
        <v>1729</v>
      </c>
      <c r="I17" s="410">
        <v>295</v>
      </c>
      <c r="J17" s="410">
        <v>48</v>
      </c>
      <c r="K17" s="410">
        <v>335</v>
      </c>
      <c r="L17" s="425">
        <v>8654.5</v>
      </c>
      <c r="M17" s="425">
        <v>13146.8</v>
      </c>
      <c r="N17" s="425">
        <v>2930</v>
      </c>
      <c r="O17" s="691">
        <v>61.449199999999998</v>
      </c>
      <c r="P17" s="691">
        <v>63.752699999999997</v>
      </c>
      <c r="Q17" s="690" t="s">
        <v>1205</v>
      </c>
    </row>
    <row r="18" spans="1:23" s="163" customFormat="1" ht="9.1999999999999993" customHeight="1">
      <c r="A18" s="605" t="s">
        <v>1210</v>
      </c>
      <c r="B18" s="605"/>
      <c r="C18" s="530" t="s">
        <v>836</v>
      </c>
      <c r="D18" s="530">
        <v>7.54</v>
      </c>
      <c r="E18" s="530" t="s">
        <v>836</v>
      </c>
      <c r="F18" s="530">
        <v>7.16</v>
      </c>
      <c r="G18" s="530">
        <v>2204</v>
      </c>
      <c r="H18" s="530">
        <v>1968</v>
      </c>
      <c r="I18" s="530">
        <v>327</v>
      </c>
      <c r="J18" s="530">
        <v>50</v>
      </c>
      <c r="K18" s="530">
        <v>372</v>
      </c>
      <c r="L18" s="521">
        <v>10526.2</v>
      </c>
      <c r="M18" s="521">
        <v>14746.4</v>
      </c>
      <c r="N18" s="521">
        <v>3483.8</v>
      </c>
      <c r="O18" s="681">
        <v>67.16</v>
      </c>
      <c r="P18" s="530">
        <v>69.702600000000004</v>
      </c>
      <c r="Q18" s="682" t="s">
        <v>1210</v>
      </c>
      <c r="V18" s="410"/>
      <c r="W18" s="410"/>
    </row>
    <row r="19" spans="1:23" s="163" customFormat="1" ht="9.1999999999999993" customHeight="1">
      <c r="A19" s="676" t="s">
        <v>1219</v>
      </c>
      <c r="B19" s="676"/>
      <c r="C19" s="410" t="s">
        <v>836</v>
      </c>
      <c r="D19" s="642">
        <v>9.1999999999999993</v>
      </c>
      <c r="E19" s="410" t="s">
        <v>836</v>
      </c>
      <c r="F19" s="642">
        <v>7.2</v>
      </c>
      <c r="G19" s="410" t="s">
        <v>836</v>
      </c>
      <c r="H19" s="410" t="s">
        <v>836</v>
      </c>
      <c r="I19" s="410">
        <v>360</v>
      </c>
      <c r="J19" s="410">
        <v>52</v>
      </c>
      <c r="K19" s="410">
        <v>410</v>
      </c>
      <c r="L19" s="425">
        <v>12177.9</v>
      </c>
      <c r="M19" s="425">
        <v>17156.8</v>
      </c>
      <c r="N19" s="425">
        <v>5077.2</v>
      </c>
      <c r="O19" s="691">
        <v>69.06</v>
      </c>
      <c r="P19" s="691">
        <v>68.8</v>
      </c>
      <c r="Q19" s="690" t="s">
        <v>1219</v>
      </c>
    </row>
    <row r="20" spans="1:23" s="159" customFormat="1" ht="9.1999999999999993" customHeight="1">
      <c r="A20" s="605" t="s">
        <v>916</v>
      </c>
      <c r="B20" s="605"/>
      <c r="C20" s="530" t="s">
        <v>836</v>
      </c>
      <c r="D20" s="530">
        <v>10.039999999999999</v>
      </c>
      <c r="E20" s="530" t="s">
        <v>836</v>
      </c>
      <c r="F20" s="530">
        <v>9.94</v>
      </c>
      <c r="G20" s="530" t="s">
        <v>836</v>
      </c>
      <c r="H20" s="530" t="s">
        <v>836</v>
      </c>
      <c r="I20" s="530">
        <v>386</v>
      </c>
      <c r="J20" s="530">
        <v>58</v>
      </c>
      <c r="K20" s="530">
        <v>438</v>
      </c>
      <c r="L20" s="530">
        <v>14110.8</v>
      </c>
      <c r="M20" s="521">
        <v>21629</v>
      </c>
      <c r="N20" s="521">
        <v>6148.8</v>
      </c>
      <c r="O20" s="530">
        <v>68.610299999999995</v>
      </c>
      <c r="P20" s="530">
        <v>68.520399999999995</v>
      </c>
      <c r="Q20" s="682" t="s">
        <v>916</v>
      </c>
      <c r="T20" s="410"/>
      <c r="U20" s="410"/>
      <c r="V20" s="410"/>
    </row>
    <row r="21" spans="1:23" s="159" customFormat="1" ht="9.1999999999999993" customHeight="1">
      <c r="A21" s="676" t="s">
        <v>230</v>
      </c>
      <c r="B21" s="676"/>
      <c r="C21" s="410" t="s">
        <v>836</v>
      </c>
      <c r="D21" s="410">
        <v>2.25</v>
      </c>
      <c r="E21" s="410" t="s">
        <v>836</v>
      </c>
      <c r="F21" s="410">
        <v>6.66</v>
      </c>
      <c r="G21" s="410" t="s">
        <v>836</v>
      </c>
      <c r="H21" s="410" t="s">
        <v>836</v>
      </c>
      <c r="I21" s="410">
        <v>413</v>
      </c>
      <c r="J21" s="410">
        <v>55</v>
      </c>
      <c r="K21" s="410">
        <v>473</v>
      </c>
      <c r="L21" s="410">
        <v>15565.2</v>
      </c>
      <c r="M21" s="425">
        <v>22507.1</v>
      </c>
      <c r="N21" s="425">
        <v>7470.9</v>
      </c>
      <c r="O21" s="691">
        <v>68.802999999999997</v>
      </c>
      <c r="P21" s="691">
        <v>69.06</v>
      </c>
      <c r="Q21" s="690" t="s">
        <v>230</v>
      </c>
      <c r="T21" s="410"/>
      <c r="U21" s="410"/>
      <c r="V21" s="410"/>
    </row>
    <row r="22" spans="1:23" s="159" customFormat="1" ht="9.1999999999999993" customHeight="1">
      <c r="A22" s="605" t="s">
        <v>220</v>
      </c>
      <c r="B22" s="605"/>
      <c r="C22" s="530" t="s">
        <v>836</v>
      </c>
      <c r="D22" s="531">
        <v>8.6999999999999993</v>
      </c>
      <c r="E22" s="530" t="s">
        <v>836</v>
      </c>
      <c r="F22" s="531">
        <v>7.31</v>
      </c>
      <c r="G22" s="530" t="s">
        <v>836</v>
      </c>
      <c r="H22" s="530" t="s">
        <v>836</v>
      </c>
      <c r="I22" s="530">
        <v>442</v>
      </c>
      <c r="J22" s="530">
        <v>65</v>
      </c>
      <c r="K22" s="530">
        <v>517</v>
      </c>
      <c r="L22" s="530">
        <v>16204.7</v>
      </c>
      <c r="M22" s="521">
        <v>23738.400000000001</v>
      </c>
      <c r="N22" s="521">
        <v>10749.7</v>
      </c>
      <c r="O22" s="681">
        <v>69.184200000000004</v>
      </c>
      <c r="P22" s="681">
        <v>69.441000000000003</v>
      </c>
      <c r="Q22" s="682" t="s">
        <v>220</v>
      </c>
    </row>
    <row r="23" spans="1:23" s="692" customFormat="1" ht="9.1999999999999993" customHeight="1">
      <c r="A23" s="676" t="s">
        <v>489</v>
      </c>
      <c r="B23" s="676"/>
      <c r="C23" s="410">
        <v>11.14</v>
      </c>
      <c r="D23" s="410">
        <v>10.17</v>
      </c>
      <c r="E23" s="410" t="s">
        <v>836</v>
      </c>
      <c r="F23" s="642">
        <v>8.8000000000000007</v>
      </c>
      <c r="G23" s="410" t="s">
        <v>836</v>
      </c>
      <c r="H23" s="410" t="s">
        <v>836</v>
      </c>
      <c r="I23" s="887">
        <v>520.5</v>
      </c>
      <c r="J23" s="887">
        <v>58.416666666666664</v>
      </c>
      <c r="K23" s="887">
        <v>596.14806625547919</v>
      </c>
      <c r="L23" s="425">
        <v>22928.2</v>
      </c>
      <c r="M23" s="425">
        <v>33657.5</v>
      </c>
      <c r="N23" s="425">
        <v>10911.6</v>
      </c>
      <c r="O23" s="691">
        <v>71.216399999999993</v>
      </c>
      <c r="P23" s="691">
        <v>74.149299999999997</v>
      </c>
      <c r="Q23" s="690" t="s">
        <v>489</v>
      </c>
    </row>
    <row r="24" spans="1:23" s="692" customFormat="1" ht="9.1999999999999993" customHeight="1">
      <c r="A24" s="605" t="s">
        <v>1580</v>
      </c>
      <c r="B24" s="605"/>
      <c r="C24" s="530">
        <v>5.54</v>
      </c>
      <c r="D24" s="530">
        <v>8.56</v>
      </c>
      <c r="E24" s="530" t="s">
        <v>836</v>
      </c>
      <c r="F24" s="531">
        <v>10.62</v>
      </c>
      <c r="G24" s="530" t="s">
        <v>836</v>
      </c>
      <c r="H24" s="530" t="s">
        <v>836</v>
      </c>
      <c r="I24" s="532">
        <v>570.41666666666663</v>
      </c>
      <c r="J24" s="532">
        <v>73.75</v>
      </c>
      <c r="K24" s="532">
        <v>651.7398366887777</v>
      </c>
      <c r="L24" s="521">
        <v>24302.000000000004</v>
      </c>
      <c r="M24" s="521">
        <v>35516.300000000003</v>
      </c>
      <c r="N24" s="521">
        <v>10364.4</v>
      </c>
      <c r="O24" s="681">
        <v>81.876599999999996</v>
      </c>
      <c r="P24" s="681">
        <v>81.815799999999996</v>
      </c>
      <c r="Q24" s="682" t="s">
        <v>1580</v>
      </c>
    </row>
    <row r="25" spans="1:23" s="692" customFormat="1" ht="9.1999999999999993" customHeight="1">
      <c r="A25" s="480" t="s">
        <v>1809</v>
      </c>
      <c r="B25" s="480"/>
      <c r="C25" s="482">
        <v>8.0500000000000007</v>
      </c>
      <c r="D25" s="482">
        <v>7.97</v>
      </c>
      <c r="E25" s="482">
        <v>6.78</v>
      </c>
      <c r="F25" s="483">
        <v>7.7</v>
      </c>
      <c r="G25" s="482" t="s">
        <v>836</v>
      </c>
      <c r="H25" s="482" t="s">
        <v>836</v>
      </c>
      <c r="I25" s="739">
        <v>620.91666666666663</v>
      </c>
      <c r="J25" s="739">
        <v>83.75</v>
      </c>
      <c r="K25" s="739">
        <v>708.87122270064776</v>
      </c>
      <c r="L25" s="433">
        <v>27027.45</v>
      </c>
      <c r="M25" s="433">
        <v>34083.599999999999</v>
      </c>
      <c r="N25" s="433">
        <v>15315.2</v>
      </c>
      <c r="O25" s="696">
        <v>77.752099999999999</v>
      </c>
      <c r="P25" s="696">
        <v>77.759299999999996</v>
      </c>
      <c r="Q25" s="736" t="s">
        <v>1809</v>
      </c>
    </row>
    <row r="26" spans="1:23" s="918" customFormat="1" ht="9.1999999999999993" customHeight="1">
      <c r="A26" s="693" t="s">
        <v>2226</v>
      </c>
      <c r="B26" s="1029"/>
      <c r="C26" s="641">
        <f>C38</f>
        <v>6.97</v>
      </c>
      <c r="D26" s="641" t="s">
        <v>836</v>
      </c>
      <c r="E26" s="641">
        <f>E38</f>
        <v>7.35</v>
      </c>
      <c r="F26" s="641" t="s">
        <v>836</v>
      </c>
      <c r="G26" s="641" t="s">
        <v>836</v>
      </c>
      <c r="H26" s="641" t="s">
        <v>836</v>
      </c>
      <c r="I26" s="641" t="s">
        <v>836</v>
      </c>
      <c r="J26" s="641" t="s">
        <v>836</v>
      </c>
      <c r="K26" s="641" t="s">
        <v>836</v>
      </c>
      <c r="L26" s="640">
        <f>L27+L28+L29+L30+L31+L32+L33+L34+L35++L36+L37+L38</f>
        <v>30186.62</v>
      </c>
      <c r="M26" s="640">
        <f>M27+M28+M29+M30+M31+M32+M33+M34+M35++M36+M37+M38</f>
        <v>40731.9</v>
      </c>
      <c r="N26" s="640">
        <f>N38</f>
        <v>21507.992999999999</v>
      </c>
      <c r="O26" s="1028">
        <v>77.72</v>
      </c>
      <c r="P26" s="1028">
        <v>77.63</v>
      </c>
      <c r="Q26" s="694" t="s">
        <v>2226</v>
      </c>
    </row>
    <row r="27" spans="1:23" s="482" customFormat="1" ht="9" hidden="1" customHeight="1">
      <c r="A27" s="480" t="s">
        <v>1211</v>
      </c>
      <c r="C27" s="482">
        <v>7.85</v>
      </c>
      <c r="D27" s="483">
        <v>7.78</v>
      </c>
      <c r="E27" s="482">
        <v>6.99</v>
      </c>
      <c r="F27" s="483">
        <v>7.68</v>
      </c>
      <c r="G27" s="482" t="s">
        <v>836</v>
      </c>
      <c r="H27" s="482" t="s">
        <v>836</v>
      </c>
      <c r="I27" s="482" t="s">
        <v>836</v>
      </c>
      <c r="J27" s="482" t="s">
        <v>836</v>
      </c>
      <c r="K27" s="482" t="s">
        <v>836</v>
      </c>
      <c r="L27" s="433">
        <v>3024.29</v>
      </c>
      <c r="M27" s="433">
        <v>3477.4</v>
      </c>
      <c r="N27" s="482">
        <v>15533.7</v>
      </c>
      <c r="O27" s="482">
        <v>77.752499999999998</v>
      </c>
      <c r="P27" s="696">
        <v>77.75</v>
      </c>
      <c r="Q27" s="736" t="s">
        <v>1211</v>
      </c>
    </row>
    <row r="28" spans="1:23" s="482" customFormat="1" ht="9" hidden="1" customHeight="1">
      <c r="A28" s="605" t="s">
        <v>1212</v>
      </c>
      <c r="B28" s="530"/>
      <c r="C28" s="530">
        <v>7.39</v>
      </c>
      <c r="D28" s="531" t="s">
        <v>836</v>
      </c>
      <c r="E28" s="530">
        <v>7.19</v>
      </c>
      <c r="F28" s="531" t="s">
        <v>836</v>
      </c>
      <c r="G28" s="530" t="s">
        <v>836</v>
      </c>
      <c r="H28" s="530" t="s">
        <v>836</v>
      </c>
      <c r="I28" s="530" t="s">
        <v>836</v>
      </c>
      <c r="J28" s="530" t="s">
        <v>836</v>
      </c>
      <c r="K28" s="530" t="s">
        <v>836</v>
      </c>
      <c r="L28" s="521">
        <v>2013.44</v>
      </c>
      <c r="M28" s="521">
        <v>2851.7</v>
      </c>
      <c r="N28" s="521">
        <v>16252.27</v>
      </c>
      <c r="O28" s="530">
        <v>77.750200000000007</v>
      </c>
      <c r="P28" s="681">
        <v>77.75</v>
      </c>
      <c r="Q28" s="682" t="s">
        <v>1212</v>
      </c>
    </row>
    <row r="29" spans="1:23" s="482" customFormat="1" ht="9" hidden="1" customHeight="1">
      <c r="A29" s="480" t="s">
        <v>1206</v>
      </c>
      <c r="C29" s="482">
        <v>7.13</v>
      </c>
      <c r="D29" s="483" t="s">
        <v>836</v>
      </c>
      <c r="E29" s="482">
        <v>7.37</v>
      </c>
      <c r="F29" s="483" t="s">
        <v>836</v>
      </c>
      <c r="G29" s="483" t="s">
        <v>836</v>
      </c>
      <c r="H29" s="483" t="s">
        <v>836</v>
      </c>
      <c r="I29" s="483" t="s">
        <v>836</v>
      </c>
      <c r="J29" s="483" t="s">
        <v>836</v>
      </c>
      <c r="K29" s="483" t="s">
        <v>836</v>
      </c>
      <c r="L29" s="433">
        <v>2590.2399999999998</v>
      </c>
      <c r="M29" s="433">
        <v>3478.8</v>
      </c>
      <c r="N29" s="433">
        <v>16154.76</v>
      </c>
      <c r="O29" s="482">
        <v>77.750100000000003</v>
      </c>
      <c r="P29" s="696">
        <v>77.75</v>
      </c>
      <c r="Q29" s="736" t="s">
        <v>1206</v>
      </c>
    </row>
    <row r="30" spans="1:23" s="482" customFormat="1" ht="9" hidden="1" customHeight="1">
      <c r="A30" s="605" t="s">
        <v>1213</v>
      </c>
      <c r="B30" s="530"/>
      <c r="C30" s="530">
        <v>7.03</v>
      </c>
      <c r="D30" s="531" t="s">
        <v>836</v>
      </c>
      <c r="E30" s="530">
        <v>7.47</v>
      </c>
      <c r="F30" s="531" t="s">
        <v>836</v>
      </c>
      <c r="G30" s="531" t="s">
        <v>836</v>
      </c>
      <c r="H30" s="531" t="s">
        <v>836</v>
      </c>
      <c r="I30" s="531" t="s">
        <v>836</v>
      </c>
      <c r="J30" s="531" t="s">
        <v>836</v>
      </c>
      <c r="K30" s="531" t="s">
        <v>836</v>
      </c>
      <c r="L30" s="521">
        <v>2119.1999999999998</v>
      </c>
      <c r="M30" s="521">
        <v>3313.7</v>
      </c>
      <c r="N30" s="521">
        <v>17345.400000000001</v>
      </c>
      <c r="O30" s="530">
        <v>77.750200000000007</v>
      </c>
      <c r="P30" s="681">
        <v>77.75</v>
      </c>
      <c r="Q30" s="682" t="s">
        <v>1213</v>
      </c>
    </row>
    <row r="31" spans="1:23" s="482" customFormat="1" ht="9" hidden="1" customHeight="1">
      <c r="A31" s="480" t="s">
        <v>1214</v>
      </c>
      <c r="C31" s="482">
        <v>7.15</v>
      </c>
      <c r="D31" s="483" t="s">
        <v>836</v>
      </c>
      <c r="E31" s="482">
        <v>7.51</v>
      </c>
      <c r="F31" s="483" t="s">
        <v>836</v>
      </c>
      <c r="G31" s="483" t="s">
        <v>836</v>
      </c>
      <c r="H31" s="483" t="s">
        <v>836</v>
      </c>
      <c r="I31" s="483" t="s">
        <v>836</v>
      </c>
      <c r="J31" s="483" t="s">
        <v>836</v>
      </c>
      <c r="K31" s="483" t="s">
        <v>836</v>
      </c>
      <c r="L31" s="433">
        <v>2212.4</v>
      </c>
      <c r="M31" s="433">
        <v>3351.5</v>
      </c>
      <c r="N31" s="433">
        <v>17105.900000000001</v>
      </c>
      <c r="O31" s="482">
        <v>77.750100000000003</v>
      </c>
      <c r="P31" s="696">
        <v>77.75</v>
      </c>
      <c r="Q31" s="736" t="s">
        <v>1214</v>
      </c>
    </row>
    <row r="32" spans="1:23" s="482" customFormat="1" ht="9" hidden="1" customHeight="1">
      <c r="A32" s="605" t="s">
        <v>1207</v>
      </c>
      <c r="B32" s="530"/>
      <c r="C32" s="530">
        <v>7.35</v>
      </c>
      <c r="D32" s="531" t="s">
        <v>836</v>
      </c>
      <c r="E32" s="530">
        <v>7.53</v>
      </c>
      <c r="F32" s="531" t="s">
        <v>836</v>
      </c>
      <c r="G32" s="531" t="s">
        <v>836</v>
      </c>
      <c r="H32" s="531" t="s">
        <v>836</v>
      </c>
      <c r="I32" s="531" t="s">
        <v>836</v>
      </c>
      <c r="J32" s="531" t="s">
        <v>836</v>
      </c>
      <c r="K32" s="531" t="s">
        <v>836</v>
      </c>
      <c r="L32" s="521">
        <v>2726.2</v>
      </c>
      <c r="M32" s="521">
        <v>3459.3</v>
      </c>
      <c r="N32" s="521">
        <v>18094.599999999999</v>
      </c>
      <c r="O32" s="530">
        <v>77.750500000000002</v>
      </c>
      <c r="P32" s="681">
        <v>77.75</v>
      </c>
      <c r="Q32" s="682" t="s">
        <v>1207</v>
      </c>
    </row>
    <row r="33" spans="1:17" s="482" customFormat="1" ht="9" hidden="1" customHeight="1">
      <c r="A33" s="480" t="s">
        <v>1215</v>
      </c>
      <c r="C33" s="483">
        <v>7.5</v>
      </c>
      <c r="D33" s="483" t="s">
        <v>836</v>
      </c>
      <c r="E33" s="483">
        <v>7.6</v>
      </c>
      <c r="F33" s="483" t="s">
        <v>836</v>
      </c>
      <c r="G33" s="483" t="s">
        <v>836</v>
      </c>
      <c r="H33" s="483" t="s">
        <v>836</v>
      </c>
      <c r="I33" s="483" t="s">
        <v>836</v>
      </c>
      <c r="J33" s="483" t="s">
        <v>836</v>
      </c>
      <c r="K33" s="483" t="s">
        <v>836</v>
      </c>
      <c r="L33" s="433">
        <v>2753.77</v>
      </c>
      <c r="M33" s="433">
        <v>3655.1</v>
      </c>
      <c r="N33" s="433">
        <v>18119.11</v>
      </c>
      <c r="O33" s="482">
        <v>77.750299999999996</v>
      </c>
      <c r="P33" s="696">
        <v>77.75</v>
      </c>
      <c r="Q33" s="736" t="s">
        <v>1215</v>
      </c>
    </row>
    <row r="34" spans="1:17" s="482" customFormat="1" ht="9" hidden="1" customHeight="1">
      <c r="A34" s="605" t="s">
        <v>1216</v>
      </c>
      <c r="B34" s="530"/>
      <c r="C34" s="531">
        <v>7.44</v>
      </c>
      <c r="D34" s="531" t="s">
        <v>836</v>
      </c>
      <c r="E34" s="531">
        <v>7.57</v>
      </c>
      <c r="F34" s="531" t="s">
        <v>836</v>
      </c>
      <c r="G34" s="531" t="s">
        <v>836</v>
      </c>
      <c r="H34" s="531" t="s">
        <v>836</v>
      </c>
      <c r="I34" s="531" t="s">
        <v>836</v>
      </c>
      <c r="J34" s="531" t="s">
        <v>836</v>
      </c>
      <c r="K34" s="531" t="s">
        <v>836</v>
      </c>
      <c r="L34" s="521">
        <v>2389.42</v>
      </c>
      <c r="M34" s="521">
        <v>3051.4</v>
      </c>
      <c r="N34" s="521">
        <v>19150.53</v>
      </c>
      <c r="O34" s="530">
        <v>77.750100000000003</v>
      </c>
      <c r="P34" s="681">
        <v>77.750200000000007</v>
      </c>
      <c r="Q34" s="682" t="s">
        <v>1216</v>
      </c>
    </row>
    <row r="35" spans="1:17" s="482" customFormat="1" ht="9" hidden="1" customHeight="1">
      <c r="A35" s="480" t="s">
        <v>1208</v>
      </c>
      <c r="C35" s="483">
        <v>7.48</v>
      </c>
      <c r="D35" s="483" t="s">
        <v>836</v>
      </c>
      <c r="E35" s="483">
        <v>7.54</v>
      </c>
      <c r="F35" s="483" t="s">
        <v>836</v>
      </c>
      <c r="G35" s="483" t="s">
        <v>836</v>
      </c>
      <c r="H35" s="483" t="s">
        <v>836</v>
      </c>
      <c r="I35" s="483" t="s">
        <v>836</v>
      </c>
      <c r="J35" s="483" t="s">
        <v>836</v>
      </c>
      <c r="K35" s="483" t="s">
        <v>836</v>
      </c>
      <c r="L35" s="433">
        <v>2413.66</v>
      </c>
      <c r="M35" s="433">
        <v>3661.8</v>
      </c>
      <c r="N35" s="433">
        <v>19294.87</v>
      </c>
      <c r="O35" s="482">
        <v>77.709400000000002</v>
      </c>
      <c r="P35" s="696">
        <v>77.670900000000003</v>
      </c>
      <c r="Q35" s="736" t="s">
        <v>1208</v>
      </c>
    </row>
    <row r="36" spans="1:17" s="482" customFormat="1" ht="9" hidden="1" customHeight="1">
      <c r="A36" s="605" t="s">
        <v>1217</v>
      </c>
      <c r="B36" s="530"/>
      <c r="C36" s="531">
        <v>7.46</v>
      </c>
      <c r="D36" s="531" t="s">
        <v>836</v>
      </c>
      <c r="E36" s="531">
        <v>7.47</v>
      </c>
      <c r="F36" s="531" t="s">
        <v>836</v>
      </c>
      <c r="G36" s="531" t="s">
        <v>836</v>
      </c>
      <c r="H36" s="531" t="s">
        <v>836</v>
      </c>
      <c r="I36" s="531" t="s">
        <v>836</v>
      </c>
      <c r="J36" s="531" t="s">
        <v>836</v>
      </c>
      <c r="K36" s="531" t="s">
        <v>836</v>
      </c>
      <c r="L36" s="521">
        <v>2411.73</v>
      </c>
      <c r="M36" s="521">
        <v>3679.2</v>
      </c>
      <c r="N36" s="521">
        <v>20370.14</v>
      </c>
      <c r="O36" s="530">
        <v>77.662300000000002</v>
      </c>
      <c r="P36" s="681">
        <v>77.650000000000006</v>
      </c>
      <c r="Q36" s="682" t="s">
        <v>1217</v>
      </c>
    </row>
    <row r="37" spans="1:17" s="482" customFormat="1" ht="9" hidden="1" customHeight="1">
      <c r="A37" s="480" t="s">
        <v>1218</v>
      </c>
      <c r="C37" s="483">
        <v>7.48</v>
      </c>
      <c r="D37" s="483" t="s">
        <v>836</v>
      </c>
      <c r="E37" s="483">
        <v>7.44</v>
      </c>
      <c r="F37" s="483" t="s">
        <v>836</v>
      </c>
      <c r="G37" s="483" t="s">
        <v>836</v>
      </c>
      <c r="H37" s="483" t="s">
        <v>836</v>
      </c>
      <c r="I37" s="483" t="s">
        <v>836</v>
      </c>
      <c r="J37" s="483" t="s">
        <v>836</v>
      </c>
      <c r="K37" s="483" t="s">
        <v>836</v>
      </c>
      <c r="L37" s="433">
        <v>2722.18</v>
      </c>
      <c r="M37" s="433">
        <v>3514.8</v>
      </c>
      <c r="N37" s="433">
        <v>20267.45</v>
      </c>
      <c r="O37" s="482">
        <v>77.6404</v>
      </c>
      <c r="P37" s="696">
        <v>77.63</v>
      </c>
      <c r="Q37" s="736" t="s">
        <v>1218</v>
      </c>
    </row>
    <row r="38" spans="1:17" s="482" customFormat="1" ht="9" hidden="1" customHeight="1">
      <c r="A38" s="605" t="s">
        <v>1209</v>
      </c>
      <c r="B38" s="530"/>
      <c r="C38" s="531">
        <v>6.97</v>
      </c>
      <c r="D38" s="531" t="s">
        <v>836</v>
      </c>
      <c r="E38" s="531">
        <v>7.35</v>
      </c>
      <c r="F38" s="531" t="s">
        <v>836</v>
      </c>
      <c r="G38" s="531" t="s">
        <v>836</v>
      </c>
      <c r="H38" s="531" t="s">
        <v>836</v>
      </c>
      <c r="I38" s="531" t="s">
        <v>836</v>
      </c>
      <c r="J38" s="531" t="s">
        <v>836</v>
      </c>
      <c r="K38" s="531" t="s">
        <v>836</v>
      </c>
      <c r="L38" s="521">
        <v>2810.09</v>
      </c>
      <c r="M38" s="521">
        <v>3237.2</v>
      </c>
      <c r="N38" s="521">
        <v>21507.992999999999</v>
      </c>
      <c r="O38" s="681">
        <v>77.63</v>
      </c>
      <c r="P38" s="681">
        <v>77.63</v>
      </c>
      <c r="Q38" s="682" t="s">
        <v>1209</v>
      </c>
    </row>
    <row r="39" spans="1:17" s="482" customFormat="1" ht="9" customHeight="1">
      <c r="A39" s="695" t="s">
        <v>2376</v>
      </c>
      <c r="B39" s="918"/>
      <c r="C39" s="659">
        <f>C51</f>
        <v>6.25</v>
      </c>
      <c r="D39" s="659" t="str">
        <f t="shared" ref="D39:K39" si="0">D51</f>
        <v>…</v>
      </c>
      <c r="E39" s="659">
        <f t="shared" si="0"/>
        <v>6.4</v>
      </c>
      <c r="F39" s="659" t="str">
        <f t="shared" si="0"/>
        <v>…</v>
      </c>
      <c r="G39" s="659" t="str">
        <f t="shared" si="0"/>
        <v>…</v>
      </c>
      <c r="H39" s="659" t="str">
        <f t="shared" si="0"/>
        <v>…</v>
      </c>
      <c r="I39" s="659" t="str">
        <f t="shared" si="0"/>
        <v>…</v>
      </c>
      <c r="J39" s="659" t="str">
        <f t="shared" si="0"/>
        <v>…</v>
      </c>
      <c r="K39" s="659" t="str">
        <f t="shared" si="0"/>
        <v>…</v>
      </c>
      <c r="L39" s="657">
        <f>L40+L41+L42+L43+L44+L45+L46+L47+L48++L49+L50+L51</f>
        <v>31208.949999999997</v>
      </c>
      <c r="M39" s="657">
        <f>SUM(M40:M51)</f>
        <v>40579.300000000003</v>
      </c>
      <c r="N39" s="657">
        <f>N51</f>
        <v>25025.200000000001</v>
      </c>
      <c r="O39" s="919">
        <v>77.674999999999997</v>
      </c>
      <c r="P39" s="919">
        <v>77.800399999999996</v>
      </c>
      <c r="Q39" s="697" t="s">
        <v>2376</v>
      </c>
    </row>
    <row r="40" spans="1:17" s="482" customFormat="1" ht="11.25" customHeight="1">
      <c r="A40" s="605" t="s">
        <v>1211</v>
      </c>
      <c r="B40" s="530"/>
      <c r="C40" s="531">
        <v>7.04</v>
      </c>
      <c r="D40" s="531" t="s">
        <v>836</v>
      </c>
      <c r="E40" s="531">
        <v>7.28</v>
      </c>
      <c r="F40" s="531" t="s">
        <v>836</v>
      </c>
      <c r="G40" s="531" t="s">
        <v>836</v>
      </c>
      <c r="H40" s="531" t="s">
        <v>836</v>
      </c>
      <c r="I40" s="531" t="s">
        <v>836</v>
      </c>
      <c r="J40" s="531" t="s">
        <v>836</v>
      </c>
      <c r="K40" s="531" t="s">
        <v>836</v>
      </c>
      <c r="L40" s="521">
        <v>2982.74</v>
      </c>
      <c r="M40" s="521">
        <v>3181</v>
      </c>
      <c r="N40" s="521">
        <v>21383.48</v>
      </c>
      <c r="O40" s="681">
        <v>77.593199999999996</v>
      </c>
      <c r="P40" s="681">
        <v>77.52</v>
      </c>
      <c r="Q40" s="682" t="s">
        <v>1211</v>
      </c>
    </row>
    <row r="41" spans="1:17" s="482" customFormat="1" ht="10.5" customHeight="1">
      <c r="A41" s="480" t="s">
        <v>1212</v>
      </c>
      <c r="C41" s="483">
        <v>6.91</v>
      </c>
      <c r="D41" s="483" t="s">
        <v>836</v>
      </c>
      <c r="E41" s="483">
        <v>7.24</v>
      </c>
      <c r="F41" s="483" t="s">
        <v>836</v>
      </c>
      <c r="G41" s="483" t="s">
        <v>836</v>
      </c>
      <c r="H41" s="483" t="s">
        <v>836</v>
      </c>
      <c r="I41" s="483" t="s">
        <v>836</v>
      </c>
      <c r="J41" s="483" t="s">
        <v>836</v>
      </c>
      <c r="K41" s="483" t="s">
        <v>836</v>
      </c>
      <c r="L41" s="433">
        <v>2159.5</v>
      </c>
      <c r="M41" s="433">
        <v>3677.1</v>
      </c>
      <c r="N41" s="433">
        <v>22070.43</v>
      </c>
      <c r="O41" s="696">
        <v>77.455799999999996</v>
      </c>
      <c r="P41" s="696">
        <v>77.400199999999998</v>
      </c>
      <c r="Q41" s="736" t="s">
        <v>1212</v>
      </c>
    </row>
    <row r="42" spans="1:17" s="482" customFormat="1" ht="11.25" customHeight="1">
      <c r="A42" s="605" t="s">
        <v>1206</v>
      </c>
      <c r="B42" s="530"/>
      <c r="C42" s="531">
        <v>6.84</v>
      </c>
      <c r="D42" s="531" t="s">
        <v>836</v>
      </c>
      <c r="E42" s="531">
        <v>7.22</v>
      </c>
      <c r="F42" s="531" t="s">
        <v>836</v>
      </c>
      <c r="G42" s="531" t="s">
        <v>836</v>
      </c>
      <c r="H42" s="531" t="s">
        <v>836</v>
      </c>
      <c r="I42" s="531" t="s">
        <v>836</v>
      </c>
      <c r="J42" s="531" t="s">
        <v>836</v>
      </c>
      <c r="K42" s="531" t="s">
        <v>836</v>
      </c>
      <c r="L42" s="521">
        <v>2552.86</v>
      </c>
      <c r="M42" s="521">
        <v>3584.7</v>
      </c>
      <c r="N42" s="521">
        <v>21836.66</v>
      </c>
      <c r="O42" s="681">
        <v>77.400000000000006</v>
      </c>
      <c r="P42" s="681">
        <v>77.400000000000006</v>
      </c>
      <c r="Q42" s="682" t="s">
        <v>1206</v>
      </c>
    </row>
    <row r="43" spans="1:17" s="482" customFormat="1" ht="9.75" customHeight="1">
      <c r="A43" s="480" t="s">
        <v>1213</v>
      </c>
      <c r="C43" s="483">
        <v>6.6</v>
      </c>
      <c r="D43" s="483" t="s">
        <v>836</v>
      </c>
      <c r="E43" s="483">
        <v>7.18</v>
      </c>
      <c r="F43" s="483" t="s">
        <v>836</v>
      </c>
      <c r="G43" s="483" t="s">
        <v>836</v>
      </c>
      <c r="H43" s="483" t="s">
        <v>836</v>
      </c>
      <c r="I43" s="483" t="s">
        <v>836</v>
      </c>
      <c r="J43" s="483" t="s">
        <v>836</v>
      </c>
      <c r="K43" s="483" t="s">
        <v>836</v>
      </c>
      <c r="L43" s="433">
        <v>1957.55</v>
      </c>
      <c r="M43" s="433">
        <v>3465.4</v>
      </c>
      <c r="N43" s="433">
        <v>22312.4486</v>
      </c>
      <c r="O43" s="696">
        <v>77.400999999999996</v>
      </c>
      <c r="P43" s="696">
        <v>77.408699999999996</v>
      </c>
      <c r="Q43" s="736" t="s">
        <v>1213</v>
      </c>
    </row>
    <row r="44" spans="1:17" s="482" customFormat="1" ht="9" customHeight="1">
      <c r="A44" s="605" t="s">
        <v>1214</v>
      </c>
      <c r="B44" s="530"/>
      <c r="C44" s="531">
        <v>6.21</v>
      </c>
      <c r="D44" s="531" t="s">
        <v>836</v>
      </c>
      <c r="E44" s="531">
        <v>7.1</v>
      </c>
      <c r="F44" s="531" t="s">
        <v>836</v>
      </c>
      <c r="G44" s="531" t="s">
        <v>836</v>
      </c>
      <c r="H44" s="531" t="s">
        <v>836</v>
      </c>
      <c r="I44" s="531" t="s">
        <v>836</v>
      </c>
      <c r="J44" s="531" t="s">
        <v>836</v>
      </c>
      <c r="K44" s="531" t="s">
        <v>836</v>
      </c>
      <c r="L44" s="521">
        <v>2417.4299999999998</v>
      </c>
      <c r="M44" s="521">
        <v>3294.9</v>
      </c>
      <c r="N44" s="521">
        <v>21590.043000000001</v>
      </c>
      <c r="O44" s="681">
        <v>77.517700000000005</v>
      </c>
      <c r="P44" s="681">
        <v>77.694999999999993</v>
      </c>
      <c r="Q44" s="682" t="s">
        <v>1214</v>
      </c>
    </row>
    <row r="45" spans="1:17" s="482" customFormat="1" ht="9" customHeight="1">
      <c r="A45" s="480" t="s">
        <v>1207</v>
      </c>
      <c r="C45" s="483">
        <v>6.11</v>
      </c>
      <c r="D45" s="483" t="s">
        <v>836</v>
      </c>
      <c r="E45" s="483">
        <v>6.99</v>
      </c>
      <c r="F45" s="483" t="s">
        <v>836</v>
      </c>
      <c r="G45" s="483" t="s">
        <v>836</v>
      </c>
      <c r="H45" s="483" t="s">
        <v>836</v>
      </c>
      <c r="I45" s="483" t="s">
        <v>836</v>
      </c>
      <c r="J45" s="483" t="s">
        <v>836</v>
      </c>
      <c r="K45" s="483" t="s">
        <v>836</v>
      </c>
      <c r="L45" s="433">
        <v>2844.13</v>
      </c>
      <c r="M45" s="433">
        <v>3621</v>
      </c>
      <c r="N45" s="433">
        <v>22309.803</v>
      </c>
      <c r="O45" s="696">
        <v>77.852199999999996</v>
      </c>
      <c r="P45" s="696">
        <v>77.949399999999997</v>
      </c>
      <c r="Q45" s="736" t="s">
        <v>1207</v>
      </c>
    </row>
    <row r="46" spans="1:17" s="482" customFormat="1" ht="10.5" customHeight="1">
      <c r="A46" s="605" t="s">
        <v>1215</v>
      </c>
      <c r="B46" s="530"/>
      <c r="C46" s="531">
        <v>6.04</v>
      </c>
      <c r="D46" s="531" t="s">
        <v>836</v>
      </c>
      <c r="E46" s="531">
        <v>6.87</v>
      </c>
      <c r="F46" s="531" t="s">
        <v>836</v>
      </c>
      <c r="G46" s="531" t="s">
        <v>836</v>
      </c>
      <c r="H46" s="531" t="s">
        <v>836</v>
      </c>
      <c r="I46" s="531" t="s">
        <v>836</v>
      </c>
      <c r="J46" s="531" t="s">
        <v>836</v>
      </c>
      <c r="K46" s="531" t="s">
        <v>836</v>
      </c>
      <c r="L46" s="521">
        <v>2885.15</v>
      </c>
      <c r="M46" s="521">
        <v>3305.9</v>
      </c>
      <c r="N46" s="521">
        <v>22042.297900000001</v>
      </c>
      <c r="O46" s="681">
        <v>77.871300000000005</v>
      </c>
      <c r="P46" s="681">
        <v>77.8</v>
      </c>
      <c r="Q46" s="682" t="s">
        <v>1215</v>
      </c>
    </row>
    <row r="47" spans="1:17" s="482" customFormat="1" ht="10.5" customHeight="1">
      <c r="A47" s="480" t="s">
        <v>1216</v>
      </c>
      <c r="C47" s="483">
        <v>6.14</v>
      </c>
      <c r="D47" s="483" t="s">
        <v>836</v>
      </c>
      <c r="E47" s="483">
        <v>6.76</v>
      </c>
      <c r="F47" s="483" t="s">
        <v>836</v>
      </c>
      <c r="G47" s="483" t="s">
        <v>836</v>
      </c>
      <c r="H47" s="483" t="s">
        <v>836</v>
      </c>
      <c r="I47" s="483" t="s">
        <v>836</v>
      </c>
      <c r="J47" s="483" t="s">
        <v>836</v>
      </c>
      <c r="K47" s="483" t="s">
        <v>836</v>
      </c>
      <c r="L47" s="433">
        <v>2512.42</v>
      </c>
      <c r="M47" s="433">
        <v>3037.3</v>
      </c>
      <c r="N47" s="433">
        <v>23031.516</v>
      </c>
      <c r="O47" s="696">
        <v>77.8</v>
      </c>
      <c r="P47" s="696">
        <v>77.8</v>
      </c>
      <c r="Q47" s="736" t="s">
        <v>1216</v>
      </c>
    </row>
    <row r="48" spans="1:17" s="482" customFormat="1" ht="9" customHeight="1">
      <c r="A48" s="605" t="s">
        <v>1208</v>
      </c>
      <c r="B48" s="530"/>
      <c r="C48" s="531">
        <v>6.27</v>
      </c>
      <c r="D48" s="531" t="s">
        <v>836</v>
      </c>
      <c r="E48" s="531">
        <v>6.66</v>
      </c>
      <c r="F48" s="531" t="s">
        <v>836</v>
      </c>
      <c r="G48" s="531" t="s">
        <v>836</v>
      </c>
      <c r="H48" s="531" t="s">
        <v>836</v>
      </c>
      <c r="I48" s="531" t="s">
        <v>836</v>
      </c>
      <c r="J48" s="531" t="s">
        <v>836</v>
      </c>
      <c r="K48" s="531" t="s">
        <v>836</v>
      </c>
      <c r="L48" s="521">
        <v>2592.9699999999998</v>
      </c>
      <c r="M48" s="521">
        <v>3463.7</v>
      </c>
      <c r="N48" s="521">
        <v>23052.9728</v>
      </c>
      <c r="O48" s="681">
        <v>77.8</v>
      </c>
      <c r="P48" s="681">
        <v>77.8</v>
      </c>
      <c r="Q48" s="682" t="s">
        <v>1208</v>
      </c>
    </row>
    <row r="49" spans="1:17" s="482" customFormat="1" ht="11.25" customHeight="1">
      <c r="A49" s="480" t="s">
        <v>1217</v>
      </c>
      <c r="C49" s="483">
        <v>6.32</v>
      </c>
      <c r="D49" s="483" t="s">
        <v>836</v>
      </c>
      <c r="E49" s="483">
        <v>6.57</v>
      </c>
      <c r="F49" s="483" t="s">
        <v>836</v>
      </c>
      <c r="G49" s="483" t="s">
        <v>836</v>
      </c>
      <c r="H49" s="483" t="s">
        <v>836</v>
      </c>
      <c r="I49" s="483" t="s">
        <v>836</v>
      </c>
      <c r="J49" s="483" t="s">
        <v>836</v>
      </c>
      <c r="K49" s="483" t="s">
        <v>836</v>
      </c>
      <c r="L49" s="433">
        <v>2398.5</v>
      </c>
      <c r="M49" s="433">
        <v>3233.4</v>
      </c>
      <c r="N49" s="433">
        <v>24071.7</v>
      </c>
      <c r="O49" s="696">
        <v>77.8</v>
      </c>
      <c r="P49" s="696">
        <v>77.8</v>
      </c>
      <c r="Q49" s="736" t="s">
        <v>1217</v>
      </c>
    </row>
    <row r="50" spans="1:17" s="482" customFormat="1" ht="9" customHeight="1">
      <c r="A50" s="605" t="s">
        <v>1218</v>
      </c>
      <c r="B50" s="530"/>
      <c r="C50" s="531">
        <v>6.19</v>
      </c>
      <c r="D50" s="531" t="s">
        <v>836</v>
      </c>
      <c r="E50" s="531">
        <v>6.46</v>
      </c>
      <c r="F50" s="531" t="s">
        <v>836</v>
      </c>
      <c r="G50" s="531" t="s">
        <v>836</v>
      </c>
      <c r="H50" s="531" t="s">
        <v>836</v>
      </c>
      <c r="I50" s="531" t="s">
        <v>836</v>
      </c>
      <c r="J50" s="531" t="s">
        <v>836</v>
      </c>
      <c r="K50" s="531" t="s">
        <v>836</v>
      </c>
      <c r="L50" s="521">
        <v>2841.1</v>
      </c>
      <c r="M50" s="521">
        <v>3341</v>
      </c>
      <c r="N50" s="521">
        <v>23707.7</v>
      </c>
      <c r="O50" s="681">
        <v>77.8</v>
      </c>
      <c r="P50" s="681">
        <v>77.8</v>
      </c>
      <c r="Q50" s="682" t="s">
        <v>1218</v>
      </c>
    </row>
    <row r="51" spans="1:17" s="482" customFormat="1" ht="10.5" customHeight="1">
      <c r="A51" s="480" t="s">
        <v>1209</v>
      </c>
      <c r="C51" s="483">
        <v>6.25</v>
      </c>
      <c r="D51" s="483" t="s">
        <v>836</v>
      </c>
      <c r="E51" s="483">
        <v>6.4</v>
      </c>
      <c r="F51" s="483" t="s">
        <v>836</v>
      </c>
      <c r="G51" s="483" t="s">
        <v>836</v>
      </c>
      <c r="H51" s="483" t="s">
        <v>836</v>
      </c>
      <c r="I51" s="483" t="s">
        <v>836</v>
      </c>
      <c r="J51" s="483" t="s">
        <v>836</v>
      </c>
      <c r="K51" s="483" t="s">
        <v>836</v>
      </c>
      <c r="L51" s="433">
        <v>3064.6</v>
      </c>
      <c r="M51" s="433">
        <v>3373.9</v>
      </c>
      <c r="N51" s="433">
        <v>25025.200000000001</v>
      </c>
      <c r="O51" s="696">
        <v>77.8</v>
      </c>
      <c r="P51" s="696">
        <v>77.800399999999996</v>
      </c>
      <c r="Q51" s="736" t="s">
        <v>1209</v>
      </c>
    </row>
    <row r="52" spans="1:17" s="482" customFormat="1" ht="9" customHeight="1">
      <c r="A52" s="693" t="s">
        <v>2608</v>
      </c>
      <c r="B52" s="530"/>
      <c r="C52" s="641">
        <f>C64</f>
        <v>5.53</v>
      </c>
      <c r="D52" s="641" t="str">
        <f>D64</f>
        <v>…</v>
      </c>
      <c r="E52" s="641">
        <f>E64</f>
        <v>5.92</v>
      </c>
      <c r="F52" s="641" t="str">
        <f t="shared" ref="F52:K52" si="1">F64</f>
        <v>…</v>
      </c>
      <c r="G52" s="641" t="str">
        <f t="shared" si="1"/>
        <v>…</v>
      </c>
      <c r="H52" s="641" t="str">
        <f t="shared" si="1"/>
        <v>…</v>
      </c>
      <c r="I52" s="641" t="str">
        <f t="shared" si="1"/>
        <v>…</v>
      </c>
      <c r="J52" s="641" t="str">
        <f t="shared" si="1"/>
        <v>…</v>
      </c>
      <c r="K52" s="641" t="str">
        <f t="shared" si="1"/>
        <v>…</v>
      </c>
      <c r="L52" s="640">
        <f>L53+L54+L55+L56+L57+L58+L59+L60+L61++L62+L63+L64</f>
        <v>34241.89</v>
      </c>
      <c r="M52" s="640">
        <f>SUM(M53:M64)</f>
        <v>40030.799999999996</v>
      </c>
      <c r="N52" s="640">
        <f>N64</f>
        <v>30137.599999999999</v>
      </c>
      <c r="O52" s="1028">
        <f>SUM(O53:O64)/12</f>
        <v>78.263058333333333</v>
      </c>
      <c r="P52" s="1028">
        <f>P64</f>
        <v>78.400000000000006</v>
      </c>
      <c r="Q52" s="694" t="s">
        <v>2608</v>
      </c>
    </row>
    <row r="53" spans="1:17" s="482" customFormat="1" ht="11.25" customHeight="1">
      <c r="A53" s="480" t="s">
        <v>1211</v>
      </c>
      <c r="C53" s="483">
        <v>6.36</v>
      </c>
      <c r="D53" s="483" t="s">
        <v>836</v>
      </c>
      <c r="E53" s="483">
        <v>6.35</v>
      </c>
      <c r="F53" s="483" t="s">
        <v>836</v>
      </c>
      <c r="G53" s="483" t="s">
        <v>836</v>
      </c>
      <c r="H53" s="483" t="s">
        <v>836</v>
      </c>
      <c r="I53" s="483" t="s">
        <v>836</v>
      </c>
      <c r="J53" s="483" t="s">
        <v>836</v>
      </c>
      <c r="K53" s="483" t="s">
        <v>836</v>
      </c>
      <c r="L53" s="433">
        <v>2625.93</v>
      </c>
      <c r="M53" s="433">
        <v>2903.2</v>
      </c>
      <c r="N53" s="433">
        <v>25469.1</v>
      </c>
      <c r="O53" s="696">
        <v>77.8</v>
      </c>
      <c r="P53" s="696">
        <v>77.8</v>
      </c>
      <c r="Q53" s="736" t="s">
        <v>1211</v>
      </c>
    </row>
    <row r="54" spans="1:17" s="482" customFormat="1" ht="9.1999999999999993" customHeight="1">
      <c r="A54" s="605" t="s">
        <v>1212</v>
      </c>
      <c r="B54" s="530"/>
      <c r="C54" s="531">
        <v>6.17</v>
      </c>
      <c r="D54" s="531" t="s">
        <v>836</v>
      </c>
      <c r="E54" s="531">
        <v>6.29</v>
      </c>
      <c r="F54" s="531" t="s">
        <v>836</v>
      </c>
      <c r="G54" s="531" t="s">
        <v>836</v>
      </c>
      <c r="H54" s="531" t="s">
        <v>836</v>
      </c>
      <c r="I54" s="531" t="s">
        <v>836</v>
      </c>
      <c r="J54" s="531" t="s">
        <v>836</v>
      </c>
      <c r="K54" s="531" t="s">
        <v>836</v>
      </c>
      <c r="L54" s="521">
        <v>2758.4</v>
      </c>
      <c r="M54" s="521">
        <v>3253.8</v>
      </c>
      <c r="N54" s="521">
        <v>26175.3</v>
      </c>
      <c r="O54" s="681">
        <v>77.8</v>
      </c>
      <c r="P54" s="681">
        <v>77.8</v>
      </c>
      <c r="Q54" s="682" t="s">
        <v>1212</v>
      </c>
    </row>
    <row r="55" spans="1:17" s="482" customFormat="1" ht="10.5" customHeight="1">
      <c r="A55" s="480" t="s">
        <v>1206</v>
      </c>
      <c r="C55" s="483">
        <v>6.24</v>
      </c>
      <c r="D55" s="483" t="s">
        <v>836</v>
      </c>
      <c r="E55" s="483">
        <v>6.24</v>
      </c>
      <c r="F55" s="483" t="s">
        <v>836</v>
      </c>
      <c r="G55" s="483" t="s">
        <v>836</v>
      </c>
      <c r="H55" s="483" t="s">
        <v>836</v>
      </c>
      <c r="I55" s="483" t="s">
        <v>836</v>
      </c>
      <c r="J55" s="483" t="s">
        <v>836</v>
      </c>
      <c r="K55" s="483" t="s">
        <v>836</v>
      </c>
      <c r="L55" s="433">
        <v>2374.6999999999998</v>
      </c>
      <c r="M55" s="433">
        <v>3081.8</v>
      </c>
      <c r="N55" s="433">
        <v>26379</v>
      </c>
      <c r="O55" s="696">
        <v>77.8001</v>
      </c>
      <c r="P55" s="696">
        <v>77.8</v>
      </c>
      <c r="Q55" s="736" t="s">
        <v>1206</v>
      </c>
    </row>
    <row r="56" spans="1:17" s="482" customFormat="1" ht="9.75" customHeight="1">
      <c r="A56" s="605" t="s">
        <v>1213</v>
      </c>
      <c r="B56" s="530"/>
      <c r="C56" s="531">
        <v>6.19</v>
      </c>
      <c r="D56" s="531" t="s">
        <v>836</v>
      </c>
      <c r="E56" s="531">
        <v>6.21</v>
      </c>
      <c r="F56" s="531" t="s">
        <v>836</v>
      </c>
      <c r="G56" s="531" t="s">
        <v>836</v>
      </c>
      <c r="H56" s="531" t="s">
        <v>836</v>
      </c>
      <c r="I56" s="531" t="s">
        <v>836</v>
      </c>
      <c r="J56" s="531" t="s">
        <v>836</v>
      </c>
      <c r="K56" s="531" t="s">
        <v>836</v>
      </c>
      <c r="L56" s="521">
        <v>2371.5</v>
      </c>
      <c r="M56" s="521">
        <v>3422.6</v>
      </c>
      <c r="N56" s="521">
        <v>27058.400000000001</v>
      </c>
      <c r="O56" s="681">
        <v>77.814300000000003</v>
      </c>
      <c r="P56" s="681">
        <v>77.959000000000003</v>
      </c>
      <c r="Q56" s="682" t="s">
        <v>1213</v>
      </c>
    </row>
    <row r="57" spans="1:17" s="482" customFormat="1" ht="10.5" customHeight="1">
      <c r="A57" s="480" t="s">
        <v>1214</v>
      </c>
      <c r="C57" s="483">
        <v>6.05</v>
      </c>
      <c r="D57" s="483" t="s">
        <v>836</v>
      </c>
      <c r="E57" s="483">
        <v>6.2</v>
      </c>
      <c r="F57" s="483" t="s">
        <v>836</v>
      </c>
      <c r="G57" s="483" t="s">
        <v>836</v>
      </c>
      <c r="H57" s="483" t="s">
        <v>836</v>
      </c>
      <c r="I57" s="483" t="s">
        <v>836</v>
      </c>
      <c r="J57" s="483" t="s">
        <v>836</v>
      </c>
      <c r="K57" s="483" t="s">
        <v>836</v>
      </c>
      <c r="L57" s="433">
        <v>2749.34</v>
      </c>
      <c r="M57" s="433">
        <v>3399.9</v>
      </c>
      <c r="N57" s="433">
        <v>26407.599999999999</v>
      </c>
      <c r="O57" s="696">
        <v>78.510999999999996</v>
      </c>
      <c r="P57" s="696">
        <v>78.930000000000007</v>
      </c>
      <c r="Q57" s="736" t="s">
        <v>1214</v>
      </c>
    </row>
    <row r="58" spans="1:17" s="482" customFormat="1" ht="9" customHeight="1">
      <c r="A58" s="605" t="s">
        <v>1207</v>
      </c>
      <c r="B58" s="530"/>
      <c r="C58" s="531">
        <v>6.1</v>
      </c>
      <c r="D58" s="531" t="s">
        <v>836</v>
      </c>
      <c r="E58" s="531">
        <v>6.19</v>
      </c>
      <c r="F58" s="531" t="s">
        <v>836</v>
      </c>
      <c r="G58" s="531" t="s">
        <v>836</v>
      </c>
      <c r="H58" s="531" t="s">
        <v>836</v>
      </c>
      <c r="I58" s="531" t="s">
        <v>836</v>
      </c>
      <c r="J58" s="531" t="s">
        <v>836</v>
      </c>
      <c r="K58" s="531" t="s">
        <v>836</v>
      </c>
      <c r="L58" s="521">
        <v>3204.1</v>
      </c>
      <c r="M58" s="521">
        <v>3651.5</v>
      </c>
      <c r="N58" s="521">
        <v>27493.3</v>
      </c>
      <c r="O58" s="681">
        <v>78.766199999999998</v>
      </c>
      <c r="P58" s="681">
        <v>78.500299999999996</v>
      </c>
      <c r="Q58" s="682" t="s">
        <v>1207</v>
      </c>
    </row>
    <row r="59" spans="1:17" s="482" customFormat="1" ht="10.5" customHeight="1">
      <c r="A59" s="480" t="s">
        <v>1215</v>
      </c>
      <c r="C59" s="483">
        <v>6.07</v>
      </c>
      <c r="D59" s="483" t="s">
        <v>836</v>
      </c>
      <c r="E59" s="483">
        <v>6.2</v>
      </c>
      <c r="F59" s="483" t="s">
        <v>836</v>
      </c>
      <c r="G59" s="483" t="s">
        <v>836</v>
      </c>
      <c r="H59" s="483" t="s">
        <v>836</v>
      </c>
      <c r="I59" s="483" t="s">
        <v>836</v>
      </c>
      <c r="J59" s="483" t="s">
        <v>836</v>
      </c>
      <c r="K59" s="483" t="s">
        <v>836</v>
      </c>
      <c r="L59" s="433">
        <v>3185.63</v>
      </c>
      <c r="M59" s="433">
        <v>3437.5</v>
      </c>
      <c r="N59" s="433">
        <v>27138.9</v>
      </c>
      <c r="O59" s="696">
        <v>78.500100000000003</v>
      </c>
      <c r="P59" s="696">
        <v>78.501400000000004</v>
      </c>
      <c r="Q59" s="736" t="s">
        <v>1215</v>
      </c>
    </row>
    <row r="60" spans="1:17" s="482" customFormat="1" ht="9.75" customHeight="1">
      <c r="A60" s="605" t="s">
        <v>1216</v>
      </c>
      <c r="B60" s="530"/>
      <c r="C60" s="531">
        <v>5.62</v>
      </c>
      <c r="D60" s="531" t="s">
        <v>836</v>
      </c>
      <c r="E60" s="531">
        <v>6.15</v>
      </c>
      <c r="F60" s="531" t="s">
        <v>836</v>
      </c>
      <c r="G60" s="531" t="s">
        <v>836</v>
      </c>
      <c r="H60" s="531" t="s">
        <v>836</v>
      </c>
      <c r="I60" s="531" t="s">
        <v>836</v>
      </c>
      <c r="J60" s="531" t="s">
        <v>836</v>
      </c>
      <c r="K60" s="531" t="s">
        <v>836</v>
      </c>
      <c r="L60" s="521">
        <v>2854.22</v>
      </c>
      <c r="M60" s="521">
        <v>3070.1</v>
      </c>
      <c r="N60" s="521">
        <v>28058.560000000001</v>
      </c>
      <c r="O60" s="681">
        <v>78.551599999999993</v>
      </c>
      <c r="P60" s="681">
        <v>78.45</v>
      </c>
      <c r="Q60" s="682" t="s">
        <v>1216</v>
      </c>
    </row>
    <row r="61" spans="1:17" s="482" customFormat="1" ht="9.75" customHeight="1">
      <c r="A61" s="480" t="s">
        <v>1208</v>
      </c>
      <c r="C61" s="483">
        <v>5.65</v>
      </c>
      <c r="D61" s="483" t="s">
        <v>836</v>
      </c>
      <c r="E61" s="483">
        <v>6.1</v>
      </c>
      <c r="F61" s="483" t="s">
        <v>836</v>
      </c>
      <c r="G61" s="483" t="s">
        <v>836</v>
      </c>
      <c r="H61" s="483" t="s">
        <v>836</v>
      </c>
      <c r="I61" s="483" t="s">
        <v>836</v>
      </c>
      <c r="J61" s="483" t="s">
        <v>836</v>
      </c>
      <c r="K61" s="483" t="s">
        <v>836</v>
      </c>
      <c r="L61" s="433">
        <v>2831.42</v>
      </c>
      <c r="M61" s="433">
        <v>3408.9</v>
      </c>
      <c r="N61" s="433">
        <v>28265.93</v>
      </c>
      <c r="O61" s="696">
        <v>78.413399999999996</v>
      </c>
      <c r="P61" s="696">
        <v>78.400000000000006</v>
      </c>
      <c r="Q61" s="736" t="s">
        <v>1208</v>
      </c>
    </row>
    <row r="62" spans="1:17" s="482" customFormat="1" ht="9.75" customHeight="1">
      <c r="A62" s="605" t="s">
        <v>1217</v>
      </c>
      <c r="B62" s="530"/>
      <c r="C62" s="531">
        <v>5.61</v>
      </c>
      <c r="D62" s="531" t="s">
        <v>836</v>
      </c>
      <c r="E62" s="531">
        <v>6.04</v>
      </c>
      <c r="F62" s="531" t="s">
        <v>836</v>
      </c>
      <c r="G62" s="531" t="s">
        <v>836</v>
      </c>
      <c r="H62" s="531" t="s">
        <v>836</v>
      </c>
      <c r="I62" s="531" t="s">
        <v>836</v>
      </c>
      <c r="J62" s="531" t="s">
        <v>836</v>
      </c>
      <c r="K62" s="531" t="s">
        <v>836</v>
      </c>
      <c r="L62" s="521">
        <v>2682.05</v>
      </c>
      <c r="M62" s="521">
        <v>3241.4</v>
      </c>
      <c r="N62" s="521">
        <v>29106.26</v>
      </c>
      <c r="O62" s="681">
        <v>78.400000000000006</v>
      </c>
      <c r="P62" s="681">
        <v>78.400000000000006</v>
      </c>
      <c r="Q62" s="682" t="s">
        <v>1217</v>
      </c>
    </row>
    <row r="63" spans="1:17" s="482" customFormat="1" ht="9.75" customHeight="1">
      <c r="A63" s="480" t="s">
        <v>1218</v>
      </c>
      <c r="C63" s="483">
        <v>5.45</v>
      </c>
      <c r="D63" s="483" t="s">
        <v>836</v>
      </c>
      <c r="E63" s="483">
        <v>5.98</v>
      </c>
      <c r="F63" s="483" t="s">
        <v>836</v>
      </c>
      <c r="G63" s="483" t="s">
        <v>836</v>
      </c>
      <c r="H63" s="483" t="s">
        <v>836</v>
      </c>
      <c r="I63" s="483" t="s">
        <v>836</v>
      </c>
      <c r="J63" s="483" t="s">
        <v>836</v>
      </c>
      <c r="K63" s="483" t="s">
        <v>836</v>
      </c>
      <c r="L63" s="433">
        <v>3026.99</v>
      </c>
      <c r="M63" s="433">
        <v>3662</v>
      </c>
      <c r="N63" s="433">
        <v>28802.9</v>
      </c>
      <c r="O63" s="696">
        <v>78.400000000000006</v>
      </c>
      <c r="P63" s="696">
        <v>78.400000000000006</v>
      </c>
      <c r="Q63" s="736" t="s">
        <v>1218</v>
      </c>
    </row>
    <row r="64" spans="1:17" s="482" customFormat="1" ht="9.75" customHeight="1">
      <c r="A64" s="605" t="s">
        <v>1209</v>
      </c>
      <c r="B64" s="530"/>
      <c r="C64" s="531">
        <v>5.53</v>
      </c>
      <c r="D64" s="531" t="s">
        <v>836</v>
      </c>
      <c r="E64" s="531">
        <v>5.92</v>
      </c>
      <c r="F64" s="531" t="s">
        <v>836</v>
      </c>
      <c r="G64" s="531" t="s">
        <v>836</v>
      </c>
      <c r="H64" s="531" t="s">
        <v>836</v>
      </c>
      <c r="I64" s="531" t="s">
        <v>836</v>
      </c>
      <c r="J64" s="531" t="s">
        <v>836</v>
      </c>
      <c r="K64" s="531" t="s">
        <v>836</v>
      </c>
      <c r="L64" s="528">
        <v>3577.61</v>
      </c>
      <c r="M64" s="521">
        <v>3498.1</v>
      </c>
      <c r="N64" s="521">
        <v>30137.599999999999</v>
      </c>
      <c r="O64" s="681">
        <v>78.400000000000006</v>
      </c>
      <c r="P64" s="681">
        <v>78.400000000000006</v>
      </c>
      <c r="Q64" s="682" t="s">
        <v>1209</v>
      </c>
    </row>
    <row r="65" spans="1:18" s="482" customFormat="1" ht="9.75" customHeight="1">
      <c r="A65" s="695" t="s">
        <v>2809</v>
      </c>
      <c r="C65" s="483"/>
      <c r="D65" s="483"/>
      <c r="E65" s="483"/>
      <c r="F65" s="483"/>
      <c r="G65" s="483"/>
      <c r="H65" s="483"/>
      <c r="I65" s="483"/>
      <c r="J65" s="483"/>
      <c r="K65" s="483"/>
      <c r="L65" s="483"/>
      <c r="M65" s="483"/>
      <c r="N65" s="483"/>
      <c r="O65" s="483"/>
      <c r="P65" s="483"/>
      <c r="Q65" s="697" t="s">
        <v>2809</v>
      </c>
    </row>
    <row r="66" spans="1:18" s="482" customFormat="1" ht="9.75" customHeight="1">
      <c r="A66" s="605" t="s">
        <v>1211</v>
      </c>
      <c r="B66" s="530"/>
      <c r="C66" s="531">
        <v>5.4</v>
      </c>
      <c r="D66" s="531" t="s">
        <v>836</v>
      </c>
      <c r="E66" s="531">
        <v>5.84</v>
      </c>
      <c r="F66" s="531" t="s">
        <v>836</v>
      </c>
      <c r="G66" s="531" t="s">
        <v>836</v>
      </c>
      <c r="H66" s="531" t="s">
        <v>836</v>
      </c>
      <c r="I66" s="531" t="s">
        <v>836</v>
      </c>
      <c r="J66" s="531" t="s">
        <v>836</v>
      </c>
      <c r="K66" s="531" t="s">
        <v>836</v>
      </c>
      <c r="L66" s="521">
        <v>2534.31</v>
      </c>
      <c r="M66" s="521">
        <v>3012.1</v>
      </c>
      <c r="N66" s="521">
        <v>30039.29</v>
      </c>
      <c r="O66" s="681">
        <v>78.400000000000006</v>
      </c>
      <c r="P66" s="681">
        <v>78.400000000000006</v>
      </c>
      <c r="Q66" s="682" t="s">
        <v>1211</v>
      </c>
    </row>
    <row r="67" spans="1:18" s="482" customFormat="1" ht="9.75" customHeight="1">
      <c r="A67" s="480" t="s">
        <v>1212</v>
      </c>
      <c r="C67" s="483">
        <v>5.37</v>
      </c>
      <c r="D67" s="483" t="s">
        <v>836</v>
      </c>
      <c r="E67" s="483">
        <v>5.77</v>
      </c>
      <c r="F67" s="483" t="s">
        <v>836</v>
      </c>
      <c r="G67" s="483" t="s">
        <v>836</v>
      </c>
      <c r="H67" s="483" t="s">
        <v>836</v>
      </c>
      <c r="I67" s="483" t="s">
        <v>836</v>
      </c>
      <c r="J67" s="483" t="s">
        <v>836</v>
      </c>
      <c r="K67" s="483" t="s">
        <v>836</v>
      </c>
      <c r="L67" s="433">
        <v>3303.5</v>
      </c>
      <c r="M67" s="433">
        <v>3446.5</v>
      </c>
      <c r="N67" s="433">
        <v>31165.06</v>
      </c>
      <c r="O67" s="696">
        <v>78.400000000000006</v>
      </c>
      <c r="P67" s="696">
        <v>78.400000000000006</v>
      </c>
      <c r="Q67" s="736" t="s">
        <v>1212</v>
      </c>
    </row>
    <row r="68" spans="1:18" s="482" customFormat="1" ht="9.75" customHeight="1">
      <c r="A68" s="605" t="s">
        <v>1206</v>
      </c>
      <c r="B68" s="530"/>
      <c r="C68" s="531">
        <v>5.53</v>
      </c>
      <c r="D68" s="531" t="s">
        <v>836</v>
      </c>
      <c r="E68" s="531">
        <v>5.71</v>
      </c>
      <c r="F68" s="531" t="s">
        <v>836</v>
      </c>
      <c r="G68" s="531" t="s">
        <v>836</v>
      </c>
      <c r="H68" s="531" t="s">
        <v>836</v>
      </c>
      <c r="I68" s="531" t="s">
        <v>836</v>
      </c>
      <c r="J68" s="531" t="s">
        <v>836</v>
      </c>
      <c r="K68" s="531" t="s">
        <v>836</v>
      </c>
      <c r="L68" s="521">
        <v>2241.0100000000002</v>
      </c>
      <c r="M68" s="521">
        <v>3178.6</v>
      </c>
      <c r="N68" s="521">
        <v>31385.87</v>
      </c>
      <c r="O68" s="681">
        <v>78.400000000000006</v>
      </c>
      <c r="P68" s="681">
        <v>78.400000000000006</v>
      </c>
      <c r="Q68" s="682" t="s">
        <v>1206</v>
      </c>
    </row>
    <row r="69" spans="1:18" s="482" customFormat="1" ht="9.75" customHeight="1">
      <c r="A69" s="480" t="s">
        <v>1213</v>
      </c>
      <c r="C69" s="483">
        <v>5.57</v>
      </c>
      <c r="D69" s="483" t="s">
        <v>836</v>
      </c>
      <c r="E69" s="483">
        <v>5.66</v>
      </c>
      <c r="F69" s="483" t="s">
        <v>836</v>
      </c>
      <c r="G69" s="483" t="s">
        <v>836</v>
      </c>
      <c r="H69" s="483" t="s">
        <v>836</v>
      </c>
      <c r="I69" s="483" t="s">
        <v>836</v>
      </c>
      <c r="J69" s="483" t="s">
        <v>836</v>
      </c>
      <c r="K69" s="483" t="s">
        <v>836</v>
      </c>
      <c r="L69" s="433">
        <v>2712.83</v>
      </c>
      <c r="M69" s="433">
        <v>3613.5</v>
      </c>
      <c r="N69" s="433">
        <v>31895.31</v>
      </c>
      <c r="O69" s="696">
        <v>78.400800000000004</v>
      </c>
      <c r="P69" s="696">
        <v>78.4148</v>
      </c>
      <c r="Q69" s="736" t="s">
        <v>1213</v>
      </c>
    </row>
    <row r="70" spans="1:18" s="482" customFormat="1" ht="9.75" customHeight="1">
      <c r="A70" s="605" t="s">
        <v>1214</v>
      </c>
      <c r="B70" s="530"/>
      <c r="C70" s="531">
        <v>5.38</v>
      </c>
      <c r="D70" s="531" t="s">
        <v>836</v>
      </c>
      <c r="E70" s="531">
        <v>5.61</v>
      </c>
      <c r="F70" s="531" t="s">
        <v>836</v>
      </c>
      <c r="G70" s="531" t="s">
        <v>836</v>
      </c>
      <c r="H70" s="531" t="s">
        <v>836</v>
      </c>
      <c r="I70" s="531" t="s">
        <v>836</v>
      </c>
      <c r="J70" s="531" t="s">
        <v>836</v>
      </c>
      <c r="K70" s="531" t="s">
        <v>836</v>
      </c>
      <c r="L70" s="528">
        <v>2899.32</v>
      </c>
      <c r="M70" s="521">
        <v>3961.1</v>
      </c>
      <c r="N70" s="521">
        <v>31370.880000000001</v>
      </c>
      <c r="O70" s="681">
        <v>78.547200000000004</v>
      </c>
      <c r="P70" s="681">
        <v>78.719700000000003</v>
      </c>
      <c r="Q70" s="682" t="s">
        <v>1214</v>
      </c>
    </row>
    <row r="71" spans="1:18" s="482" customFormat="1" ht="9.75" customHeight="1">
      <c r="A71" s="480" t="s">
        <v>1207</v>
      </c>
      <c r="C71" s="483">
        <v>5.03</v>
      </c>
      <c r="D71" s="483" t="s">
        <v>836</v>
      </c>
      <c r="E71" s="483">
        <v>5.52</v>
      </c>
      <c r="F71" s="483" t="s">
        <v>836</v>
      </c>
      <c r="G71" s="483" t="s">
        <v>836</v>
      </c>
      <c r="H71" s="483" t="s">
        <v>836</v>
      </c>
      <c r="I71" s="483" t="s">
        <v>836</v>
      </c>
      <c r="J71" s="483" t="s">
        <v>836</v>
      </c>
      <c r="K71" s="483" t="s">
        <v>836</v>
      </c>
      <c r="L71" s="88">
        <v>3107.13</v>
      </c>
      <c r="M71" s="433">
        <v>3636.9</v>
      </c>
      <c r="N71" s="433">
        <v>32092.19</v>
      </c>
      <c r="O71" s="696">
        <v>78.804000000000002</v>
      </c>
      <c r="P71" s="696">
        <v>78.702200000000005</v>
      </c>
      <c r="Q71" s="736" t="s">
        <v>1207</v>
      </c>
    </row>
    <row r="72" spans="1:18" s="482" customFormat="1" ht="9.75" customHeight="1" thickBot="1">
      <c r="A72" s="1343" t="s">
        <v>1215</v>
      </c>
      <c r="B72" s="1010"/>
      <c r="C72" s="886">
        <v>5.15</v>
      </c>
      <c r="D72" s="886" t="s">
        <v>836</v>
      </c>
      <c r="E72" s="886">
        <v>5.44</v>
      </c>
      <c r="F72" s="886" t="s">
        <v>836</v>
      </c>
      <c r="G72" s="886" t="s">
        <v>836</v>
      </c>
      <c r="H72" s="886" t="s">
        <v>836</v>
      </c>
      <c r="I72" s="886" t="s">
        <v>836</v>
      </c>
      <c r="J72" s="886" t="s">
        <v>836</v>
      </c>
      <c r="K72" s="886" t="s">
        <v>836</v>
      </c>
      <c r="L72" s="1573">
        <v>3312.04</v>
      </c>
      <c r="M72" s="1569" t="s">
        <v>836</v>
      </c>
      <c r="N72" s="1569">
        <v>31724.17</v>
      </c>
      <c r="O72" s="1574">
        <v>78.853399999999993</v>
      </c>
      <c r="P72" s="1574">
        <v>79.069500000000005</v>
      </c>
      <c r="Q72" s="1532" t="s">
        <v>1215</v>
      </c>
    </row>
    <row r="73" spans="1:18" s="374" customFormat="1" ht="9.75" customHeight="1">
      <c r="A73" s="698" t="s">
        <v>999</v>
      </c>
      <c r="B73" s="1782" t="s">
        <v>412</v>
      </c>
      <c r="C73" s="1782"/>
      <c r="D73" s="1782"/>
      <c r="E73" s="1782"/>
      <c r="F73" s="1782"/>
      <c r="G73" s="1782"/>
      <c r="H73" s="1782"/>
      <c r="I73" s="1782"/>
      <c r="J73" s="1782"/>
      <c r="K73" s="1782"/>
      <c r="L73" s="699" t="s">
        <v>1492</v>
      </c>
      <c r="M73" s="1782" t="s">
        <v>2275</v>
      </c>
      <c r="N73" s="1782"/>
      <c r="O73" s="1782"/>
      <c r="P73" s="1782"/>
      <c r="Q73" s="1782"/>
      <c r="R73" s="271"/>
    </row>
    <row r="74" spans="1:18" s="55" customFormat="1" ht="8.1" customHeight="1">
      <c r="B74" s="1776" t="s">
        <v>413</v>
      </c>
      <c r="C74" s="1776"/>
      <c r="D74" s="1776"/>
      <c r="E74" s="1776"/>
      <c r="F74" s="1776"/>
      <c r="G74" s="1776"/>
      <c r="H74" s="1776"/>
      <c r="I74" s="1776"/>
      <c r="J74" s="1776"/>
      <c r="K74" s="1776"/>
      <c r="L74" s="179"/>
      <c r="M74" s="1776" t="s">
        <v>2276</v>
      </c>
      <c r="N74" s="1776"/>
      <c r="O74" s="1776"/>
      <c r="P74" s="1776"/>
      <c r="R74" s="74"/>
    </row>
    <row r="75" spans="1:18" s="55" customFormat="1" ht="8.25" customHeight="1">
      <c r="B75" s="1780" t="s">
        <v>1621</v>
      </c>
      <c r="C75" s="1780"/>
      <c r="D75" s="1780"/>
      <c r="E75" s="1780"/>
      <c r="F75" s="1780"/>
      <c r="G75" s="1780"/>
      <c r="H75" s="1780"/>
      <c r="I75" s="308"/>
      <c r="J75" s="308"/>
      <c r="K75" s="308"/>
      <c r="L75" s="179"/>
      <c r="M75" s="1776" t="s">
        <v>2963</v>
      </c>
      <c r="N75" s="1776"/>
      <c r="O75" s="1776"/>
      <c r="P75" s="1776"/>
      <c r="Q75" s="1776"/>
      <c r="R75" s="74"/>
    </row>
    <row r="76" spans="1:18" s="55" customFormat="1" ht="8.25" customHeight="1">
      <c r="B76" s="1781" t="s">
        <v>2289</v>
      </c>
      <c r="C76" s="1781"/>
      <c r="D76" s="1781"/>
      <c r="E76" s="1781"/>
      <c r="F76" s="1781"/>
      <c r="G76" s="1781"/>
      <c r="H76" s="1781"/>
      <c r="I76" s="1781"/>
      <c r="J76" s="1781"/>
      <c r="K76" s="308"/>
      <c r="L76" s="179"/>
      <c r="M76" s="1776"/>
      <c r="N76" s="1776"/>
      <c r="O76" s="1776"/>
      <c r="P76" s="1776"/>
      <c r="Q76" s="74"/>
    </row>
    <row r="77" spans="1:18" s="55" customFormat="1" ht="7.5" customHeight="1">
      <c r="A77" s="237"/>
      <c r="B77" s="1776" t="s">
        <v>2676</v>
      </c>
      <c r="C77" s="1776"/>
      <c r="D77" s="1776"/>
      <c r="E77" s="1776"/>
      <c r="F77" s="1776"/>
      <c r="G77" s="1776"/>
      <c r="I77" s="54"/>
      <c r="L77" s="311" t="s">
        <v>1493</v>
      </c>
      <c r="M77" s="65" t="s">
        <v>2277</v>
      </c>
      <c r="N77" s="65"/>
      <c r="O77" s="65"/>
      <c r="Q77" s="271"/>
    </row>
    <row r="78" spans="1:18" s="55" customFormat="1" ht="7.5" customHeight="1">
      <c r="A78" s="237" t="s">
        <v>998</v>
      </c>
      <c r="B78" s="1776" t="s">
        <v>490</v>
      </c>
      <c r="C78" s="1776"/>
      <c r="D78" s="1776"/>
      <c r="E78" s="1776"/>
      <c r="F78" s="1776"/>
      <c r="G78" s="1776"/>
      <c r="L78" s="308" t="s">
        <v>491</v>
      </c>
      <c r="M78" s="1777" t="s">
        <v>2278</v>
      </c>
      <c r="N78" s="1777"/>
      <c r="O78" s="1777"/>
      <c r="P78" s="1777"/>
      <c r="Q78" s="1777"/>
      <c r="R78" s="74"/>
    </row>
    <row r="79" spans="1:18" s="55" customFormat="1" ht="9.75" customHeight="1">
      <c r="C79" s="10"/>
      <c r="R79" s="74"/>
    </row>
    <row r="80" spans="1:18" s="55" customFormat="1" ht="9.9499999999999993" customHeight="1">
      <c r="C80" s="10"/>
      <c r="J80" s="54"/>
    </row>
    <row r="81" spans="4:17">
      <c r="D81" s="11"/>
      <c r="E81" s="11"/>
      <c r="F81" s="11"/>
      <c r="G81" s="11"/>
      <c r="H81" s="11"/>
      <c r="I81" s="11"/>
      <c r="J81" s="11"/>
      <c r="K81" s="11"/>
      <c r="L81" s="56"/>
      <c r="M81" s="56"/>
      <c r="O81" s="11"/>
      <c r="P81" s="11"/>
      <c r="Q81" s="11"/>
    </row>
    <row r="82" spans="4:17" ht="12.75">
      <c r="D82" s="11"/>
      <c r="E82" s="11"/>
      <c r="F82" s="11"/>
      <c r="G82" s="11"/>
      <c r="H82" s="11"/>
      <c r="I82" s="11"/>
      <c r="J82" s="11"/>
      <c r="K82" s="11"/>
      <c r="L82" s="1536"/>
      <c r="M82" s="11"/>
      <c r="N82" s="11"/>
      <c r="O82" s="11"/>
      <c r="P82" s="11"/>
      <c r="Q82" s="11"/>
    </row>
    <row r="83" spans="4:17">
      <c r="D83" s="11"/>
      <c r="E83" s="11"/>
      <c r="F83" s="11"/>
      <c r="G83" s="11"/>
      <c r="H83" s="11"/>
      <c r="I83" s="11"/>
      <c r="J83" s="37"/>
      <c r="K83" s="11"/>
      <c r="L83" s="11"/>
      <c r="M83" s="11"/>
      <c r="N83" s="11"/>
      <c r="O83" s="11"/>
      <c r="P83" s="11"/>
      <c r="Q83" s="11"/>
    </row>
    <row r="84" spans="4:17"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  <c r="O84" s="11"/>
      <c r="P84" s="11"/>
      <c r="Q84" s="11"/>
    </row>
    <row r="85" spans="4:17">
      <c r="D85" s="11"/>
      <c r="E85" s="11"/>
      <c r="F85" s="11"/>
      <c r="G85" s="11"/>
      <c r="H85" s="265"/>
      <c r="I85" s="265"/>
      <c r="J85" s="265"/>
      <c r="K85" s="265"/>
      <c r="L85" s="265"/>
      <c r="M85" s="265"/>
      <c r="N85" s="265"/>
      <c r="O85" s="265"/>
      <c r="P85" s="265"/>
      <c r="Q85" s="11"/>
    </row>
    <row r="86" spans="4:17">
      <c r="D86" s="11"/>
      <c r="E86" s="11"/>
      <c r="F86" s="11"/>
      <c r="G86" s="11"/>
      <c r="H86" s="11"/>
      <c r="I86" s="11"/>
      <c r="J86" s="11"/>
      <c r="K86" s="11"/>
      <c r="L86" s="36"/>
      <c r="M86" s="11"/>
      <c r="N86" s="11"/>
      <c r="O86" s="11"/>
      <c r="P86" s="11"/>
      <c r="Q86" s="11"/>
    </row>
    <row r="87" spans="4:17">
      <c r="D87" s="11"/>
      <c r="E87" s="11"/>
      <c r="F87" s="11"/>
      <c r="G87" s="11"/>
      <c r="H87" s="11"/>
      <c r="I87" s="11"/>
      <c r="J87" s="11"/>
      <c r="K87" s="11"/>
      <c r="L87" s="37"/>
      <c r="M87" s="11"/>
      <c r="N87" s="11"/>
      <c r="O87" s="11"/>
      <c r="P87" s="11"/>
      <c r="Q87" s="11"/>
    </row>
    <row r="88" spans="4:17">
      <c r="D88" s="11"/>
      <c r="E88" s="11"/>
      <c r="F88" s="11"/>
      <c r="G88" s="11"/>
      <c r="H88" s="11"/>
      <c r="I88" s="11"/>
      <c r="J88" s="11"/>
      <c r="K88" s="11"/>
      <c r="L88" s="37"/>
      <c r="M88" s="11"/>
      <c r="N88" s="11"/>
      <c r="O88" s="11"/>
      <c r="P88" s="11"/>
      <c r="Q88" s="11"/>
    </row>
    <row r="89" spans="4:17">
      <c r="D89" s="11"/>
      <c r="E89" s="11"/>
      <c r="F89" s="11"/>
      <c r="G89" s="11"/>
      <c r="H89" s="11"/>
      <c r="I89" s="11"/>
      <c r="J89" s="11"/>
      <c r="K89" s="11"/>
      <c r="L89" s="265"/>
      <c r="M89" s="11"/>
      <c r="N89" s="11"/>
      <c r="O89" s="11"/>
      <c r="P89" s="11"/>
      <c r="Q89" s="11"/>
    </row>
    <row r="90" spans="4:17">
      <c r="D90" s="11"/>
      <c r="E90" s="11"/>
      <c r="F90" s="11"/>
      <c r="G90" s="11"/>
      <c r="H90" s="11"/>
      <c r="I90" s="11"/>
      <c r="J90" s="11"/>
      <c r="K90" s="11"/>
      <c r="L90" s="37"/>
      <c r="M90" s="11"/>
      <c r="N90" s="11"/>
      <c r="O90" s="11"/>
      <c r="P90" s="11"/>
      <c r="Q90" s="11"/>
    </row>
    <row r="91" spans="4:17">
      <c r="D91" s="11"/>
      <c r="E91" s="11"/>
      <c r="F91" s="11"/>
      <c r="G91" s="11"/>
      <c r="H91" s="11"/>
      <c r="I91" s="11"/>
      <c r="J91" s="11"/>
      <c r="K91" s="11"/>
      <c r="L91" s="37"/>
      <c r="M91" s="11"/>
      <c r="N91" s="11"/>
      <c r="O91" s="11"/>
      <c r="P91" s="11"/>
      <c r="Q91" s="11"/>
    </row>
    <row r="92" spans="4:17">
      <c r="L92" s="36"/>
    </row>
    <row r="93" spans="4:17">
      <c r="L93" s="37"/>
    </row>
    <row r="94" spans="4:17">
      <c r="L94" s="37"/>
    </row>
    <row r="95" spans="4:17">
      <c r="L95" s="37"/>
    </row>
    <row r="96" spans="4:17">
      <c r="L96" s="37"/>
    </row>
  </sheetData>
  <mergeCells count="40">
    <mergeCell ref="B78:G78"/>
    <mergeCell ref="M78:Q78"/>
    <mergeCell ref="B77:G77"/>
    <mergeCell ref="B74:K74"/>
    <mergeCell ref="D6:D7"/>
    <mergeCell ref="M74:P74"/>
    <mergeCell ref="B75:H75"/>
    <mergeCell ref="M75:Q75"/>
    <mergeCell ref="B76:J76"/>
    <mergeCell ref="M76:P76"/>
    <mergeCell ref="B73:K73"/>
    <mergeCell ref="C6:C7"/>
    <mergeCell ref="E6:E7"/>
    <mergeCell ref="F6:F7"/>
    <mergeCell ref="A4:B8"/>
    <mergeCell ref="M73:Q73"/>
    <mergeCell ref="P1:Q1"/>
    <mergeCell ref="P2:Q2"/>
    <mergeCell ref="G4:K4"/>
    <mergeCell ref="O5:P5"/>
    <mergeCell ref="L5:M5"/>
    <mergeCell ref="G5:H5"/>
    <mergeCell ref="N5:N7"/>
    <mergeCell ref="I5:K5"/>
    <mergeCell ref="Q4:Q8"/>
    <mergeCell ref="P6:P7"/>
    <mergeCell ref="L4:N4"/>
    <mergeCell ref="H6:H7"/>
    <mergeCell ref="O4:P4"/>
    <mergeCell ref="L6:L7"/>
    <mergeCell ref="A1:G1"/>
    <mergeCell ref="I6:I7"/>
    <mergeCell ref="C4:F5"/>
    <mergeCell ref="J6:J7"/>
    <mergeCell ref="M6:M7"/>
    <mergeCell ref="H1:K1"/>
    <mergeCell ref="O6:O7"/>
    <mergeCell ref="G6:G7"/>
    <mergeCell ref="K6:K7"/>
    <mergeCell ref="G2:K2"/>
  </mergeCells>
  <phoneticPr fontId="0" type="noConversion"/>
  <pageMargins left="0.43307086614173201" right="0.23622047244094499" top="0.511811023622047" bottom="0.511811023622047" header="0" footer="0.183070866"/>
  <pageSetup paperSize="512" firstPageNumber="10" orientation="portrait" useFirstPageNumber="1" r:id="rId1"/>
  <headerFooter alignWithMargins="0">
    <oddFooter>&amp;C&amp;"Times New Roman,Regular"&amp;8&amp;P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R90"/>
  <sheetViews>
    <sheetView zoomScale="130" zoomScaleNormal="130" workbookViewId="0">
      <pane xSplit="1" ySplit="9" topLeftCell="B67" activePane="bottomRight" state="frozen"/>
      <selection pane="topRight" activeCell="B1" sqref="B1"/>
      <selection pane="bottomLeft" activeCell="A10" sqref="A10"/>
      <selection pane="bottomRight" activeCell="D17" sqref="D17"/>
    </sheetView>
  </sheetViews>
  <sheetFormatPr defaultColWidth="9.140625" defaultRowHeight="11.25"/>
  <cols>
    <col min="1" max="1" width="8.5703125" style="10" customWidth="1"/>
    <col min="2" max="2" width="9.5703125" style="10" customWidth="1"/>
    <col min="3" max="3" width="10.140625" style="10" customWidth="1"/>
    <col min="4" max="4" width="12" style="10" bestFit="1" customWidth="1"/>
    <col min="5" max="5" width="10.85546875" style="10" customWidth="1"/>
    <col min="6" max="6" width="10.28515625" style="10" customWidth="1"/>
    <col min="7" max="7" width="8" style="10" customWidth="1"/>
    <col min="8" max="8" width="9.140625" style="10"/>
    <col min="9" max="9" width="9.140625" style="10" customWidth="1"/>
    <col min="10" max="10" width="10" style="10" customWidth="1"/>
    <col min="11" max="11" width="10.28515625" style="10" customWidth="1"/>
    <col min="12" max="12" width="10.140625" style="10" customWidth="1"/>
    <col min="13" max="13" width="8.5703125" style="10" customWidth="1"/>
    <col min="14" max="14" width="8.42578125" style="10" customWidth="1"/>
    <col min="15" max="15" width="9.28515625" style="10" customWidth="1"/>
    <col min="16" max="16" width="9" style="10" customWidth="1"/>
    <col min="17" max="16384" width="9.140625" style="10"/>
  </cols>
  <sheetData>
    <row r="1" spans="1:16" s="50" customFormat="1" ht="15" customHeight="1">
      <c r="A1" s="1775"/>
      <c r="B1" s="1775"/>
      <c r="C1" s="1775"/>
      <c r="D1" s="60"/>
      <c r="G1" s="1760" t="s">
        <v>984</v>
      </c>
      <c r="H1" s="1760"/>
      <c r="I1" s="1818" t="s">
        <v>2096</v>
      </c>
      <c r="J1" s="1818"/>
      <c r="K1" s="51"/>
      <c r="L1" s="51"/>
      <c r="M1" s="51"/>
      <c r="N1" s="51"/>
      <c r="O1" s="1760" t="s">
        <v>493</v>
      </c>
      <c r="P1" s="1760"/>
    </row>
    <row r="2" spans="1:16" ht="12">
      <c r="A2" s="67"/>
      <c r="O2" s="1816" t="s">
        <v>42</v>
      </c>
      <c r="P2" s="1817"/>
    </row>
    <row r="3" spans="1:16" s="323" customFormat="1" ht="12.75" customHeight="1">
      <c r="A3" s="1750" t="s">
        <v>1972</v>
      </c>
      <c r="B3" s="1804" t="s">
        <v>1133</v>
      </c>
      <c r="C3" s="1804"/>
      <c r="D3" s="1805"/>
      <c r="E3" s="1812" t="s">
        <v>883</v>
      </c>
      <c r="F3" s="1804"/>
      <c r="G3" s="1804"/>
      <c r="H3" s="1804"/>
      <c r="I3" s="1804" t="s">
        <v>1221</v>
      </c>
      <c r="J3" s="1804"/>
      <c r="K3" s="1804"/>
      <c r="L3" s="1610"/>
      <c r="M3" s="1796" t="s">
        <v>1976</v>
      </c>
      <c r="N3" s="1796" t="s">
        <v>1977</v>
      </c>
      <c r="O3" s="1802" t="s">
        <v>2097</v>
      </c>
      <c r="P3" s="1750" t="s">
        <v>1972</v>
      </c>
    </row>
    <row r="4" spans="1:16" s="323" customFormat="1" ht="15.75" customHeight="1">
      <c r="A4" s="1751"/>
      <c r="B4" s="1806" t="s">
        <v>329</v>
      </c>
      <c r="C4" s="1796" t="s">
        <v>330</v>
      </c>
      <c r="D4" s="1796" t="s">
        <v>2261</v>
      </c>
      <c r="E4" s="1799" t="s">
        <v>463</v>
      </c>
      <c r="F4" s="1800"/>
      <c r="G4" s="1800"/>
      <c r="H4" s="1800"/>
      <c r="I4" s="1800"/>
      <c r="J4" s="1801"/>
      <c r="K4" s="1794" t="s">
        <v>1975</v>
      </c>
      <c r="L4" s="1790" t="s">
        <v>1253</v>
      </c>
      <c r="M4" s="1797"/>
      <c r="N4" s="1797"/>
      <c r="O4" s="1803"/>
      <c r="P4" s="1751"/>
    </row>
    <row r="5" spans="1:16" s="323" customFormat="1" ht="12" customHeight="1">
      <c r="A5" s="1751"/>
      <c r="B5" s="1807"/>
      <c r="C5" s="1797"/>
      <c r="D5" s="1797"/>
      <c r="E5" s="1813" t="s">
        <v>1135</v>
      </c>
      <c r="F5" s="1814"/>
      <c r="G5" s="1815"/>
      <c r="H5" s="1808" t="s">
        <v>475</v>
      </c>
      <c r="I5" s="1809"/>
      <c r="J5" s="1806"/>
      <c r="K5" s="1795"/>
      <c r="L5" s="1791"/>
      <c r="M5" s="1797"/>
      <c r="N5" s="1797"/>
      <c r="O5" s="1803"/>
      <c r="P5" s="1751"/>
    </row>
    <row r="6" spans="1:16" s="323" customFormat="1" ht="24" customHeight="1">
      <c r="A6" s="1751"/>
      <c r="B6" s="1807"/>
      <c r="C6" s="1797"/>
      <c r="D6" s="1797"/>
      <c r="E6" s="1796" t="s">
        <v>329</v>
      </c>
      <c r="F6" s="1796" t="s">
        <v>330</v>
      </c>
      <c r="G6" s="1802" t="s">
        <v>1973</v>
      </c>
      <c r="H6" s="1700" t="s">
        <v>329</v>
      </c>
      <c r="I6" s="1700" t="s">
        <v>330</v>
      </c>
      <c r="J6" s="1810" t="s">
        <v>1974</v>
      </c>
      <c r="K6" s="1795"/>
      <c r="L6" s="1791"/>
      <c r="M6" s="1797"/>
      <c r="N6" s="1797"/>
      <c r="O6" s="1803"/>
      <c r="P6" s="1751"/>
    </row>
    <row r="7" spans="1:16" s="323" customFormat="1" ht="15.75" customHeight="1">
      <c r="A7" s="1751"/>
      <c r="B7" s="1807"/>
      <c r="C7" s="1797"/>
      <c r="D7" s="1797"/>
      <c r="E7" s="1797"/>
      <c r="F7" s="1797"/>
      <c r="G7" s="1803"/>
      <c r="H7" s="1731"/>
      <c r="I7" s="1731"/>
      <c r="J7" s="1811"/>
      <c r="K7" s="1795"/>
      <c r="L7" s="1791"/>
      <c r="M7" s="1797"/>
      <c r="N7" s="1797"/>
      <c r="O7" s="1803"/>
      <c r="P7" s="1751"/>
    </row>
    <row r="8" spans="1:16" ht="6.75" hidden="1" customHeight="1">
      <c r="A8" s="1751"/>
      <c r="B8" s="1807"/>
      <c r="C8" s="1797"/>
      <c r="D8" s="1797"/>
      <c r="E8" s="303"/>
      <c r="F8" s="303"/>
      <c r="G8" s="304"/>
      <c r="H8" s="305"/>
      <c r="I8" s="305"/>
      <c r="J8" s="306"/>
      <c r="K8" s="68"/>
      <c r="L8" s="1791"/>
      <c r="M8" s="69"/>
      <c r="N8" s="69"/>
      <c r="O8" s="70"/>
      <c r="P8" s="1751"/>
    </row>
    <row r="9" spans="1:16" s="16" customFormat="1" ht="10.5" customHeight="1">
      <c r="A9" s="1752"/>
      <c r="B9" s="71">
        <v>1</v>
      </c>
      <c r="C9" s="71">
        <v>2</v>
      </c>
      <c r="D9" s="71">
        <v>3</v>
      </c>
      <c r="E9" s="71">
        <v>4</v>
      </c>
      <c r="F9" s="71">
        <v>5</v>
      </c>
      <c r="G9" s="71">
        <v>6</v>
      </c>
      <c r="H9" s="71">
        <v>7</v>
      </c>
      <c r="I9" s="71">
        <v>8</v>
      </c>
      <c r="J9" s="71">
        <v>9</v>
      </c>
      <c r="K9" s="71">
        <v>10</v>
      </c>
      <c r="L9" s="71">
        <v>11</v>
      </c>
      <c r="M9" s="71">
        <v>12</v>
      </c>
      <c r="N9" s="71">
        <v>13</v>
      </c>
      <c r="O9" s="71">
        <v>14</v>
      </c>
      <c r="P9" s="1752"/>
    </row>
    <row r="10" spans="1:16" ht="9.9499999999999993" hidden="1" customHeight="1">
      <c r="A10" s="72" t="s">
        <v>1194</v>
      </c>
      <c r="B10" s="40">
        <f>8250.8-91.7</f>
        <v>8159.0999999999995</v>
      </c>
      <c r="C10" s="40">
        <v>902</v>
      </c>
      <c r="D10" s="36">
        <f>B10+C10</f>
        <v>9061.0999999999985</v>
      </c>
      <c r="E10" s="40">
        <v>1009.6</v>
      </c>
      <c r="F10" s="40">
        <v>2798.8</v>
      </c>
      <c r="G10" s="36">
        <f>E10+F10</f>
        <v>3808.4</v>
      </c>
      <c r="H10" s="40">
        <v>1635.9</v>
      </c>
      <c r="I10" s="40">
        <v>3983.1</v>
      </c>
      <c r="J10" s="36">
        <f>H10+I10</f>
        <v>5619</v>
      </c>
      <c r="K10" s="40">
        <v>20972.5</v>
      </c>
      <c r="L10" s="36">
        <f>G10+J10+K10</f>
        <v>30399.9</v>
      </c>
      <c r="M10" s="40">
        <f>-3149.7+91.7</f>
        <v>-3058</v>
      </c>
      <c r="N10" s="40">
        <f>L10+M10</f>
        <v>27341.9</v>
      </c>
      <c r="O10" s="36">
        <f>D10+N10</f>
        <v>36403</v>
      </c>
      <c r="P10" s="62" t="s">
        <v>1194</v>
      </c>
    </row>
    <row r="11" spans="1:16" ht="9.9499999999999993" customHeight="1">
      <c r="A11" s="547" t="s">
        <v>1195</v>
      </c>
      <c r="B11" s="535">
        <f>8864.1-91.7</f>
        <v>8772.4</v>
      </c>
      <c r="C11" s="535">
        <v>1599.6</v>
      </c>
      <c r="D11" s="528">
        <f t="shared" ref="D11:D20" si="0">B11+C11</f>
        <v>10372</v>
      </c>
      <c r="E11" s="535">
        <v>1254</v>
      </c>
      <c r="F11" s="535">
        <v>3255.1</v>
      </c>
      <c r="G11" s="528">
        <f t="shared" ref="G11:G21" si="1">E11+F11</f>
        <v>4509.1000000000004</v>
      </c>
      <c r="H11" s="535">
        <v>1056.8</v>
      </c>
      <c r="I11" s="535">
        <v>4739.2</v>
      </c>
      <c r="J11" s="528">
        <f t="shared" ref="J11:J20" si="2">H11+I11</f>
        <v>5796</v>
      </c>
      <c r="K11" s="520">
        <v>30023</v>
      </c>
      <c r="L11" s="521">
        <f t="shared" ref="L11:L27" si="3">G11+J11+K11</f>
        <v>40328.1</v>
      </c>
      <c r="M11" s="520">
        <f>-8579.5+91.7</f>
        <v>-8487.7999999999993</v>
      </c>
      <c r="N11" s="520">
        <f t="shared" ref="N11:N20" si="4">L11+M11</f>
        <v>31840.3</v>
      </c>
      <c r="O11" s="521">
        <f t="shared" ref="O11:O20" si="5">D11+N11</f>
        <v>42212.3</v>
      </c>
      <c r="P11" s="548" t="s">
        <v>1195</v>
      </c>
    </row>
    <row r="12" spans="1:16" ht="9.9499999999999993" customHeight="1">
      <c r="A12" s="72" t="s">
        <v>1196</v>
      </c>
      <c r="B12" s="40">
        <f>5388.7-91.7</f>
        <v>5297</v>
      </c>
      <c r="C12" s="40">
        <v>1347.2</v>
      </c>
      <c r="D12" s="36">
        <f t="shared" si="0"/>
        <v>6644.2</v>
      </c>
      <c r="E12" s="40">
        <v>3036.8</v>
      </c>
      <c r="F12" s="40">
        <v>3273.2</v>
      </c>
      <c r="G12" s="36">
        <f t="shared" si="1"/>
        <v>6310</v>
      </c>
      <c r="H12" s="40">
        <v>1195.5</v>
      </c>
      <c r="I12" s="40">
        <v>4493.5</v>
      </c>
      <c r="J12" s="36">
        <f t="shared" si="2"/>
        <v>5689</v>
      </c>
      <c r="K12" s="424">
        <v>34869.699999999997</v>
      </c>
      <c r="L12" s="425">
        <f t="shared" si="3"/>
        <v>46868.7</v>
      </c>
      <c r="M12" s="424">
        <f>-7914.1+91.7</f>
        <v>-7822.4000000000005</v>
      </c>
      <c r="N12" s="424">
        <f t="shared" si="4"/>
        <v>39046.299999999996</v>
      </c>
      <c r="O12" s="425">
        <f t="shared" si="5"/>
        <v>45690.499999999993</v>
      </c>
      <c r="P12" s="62" t="s">
        <v>1196</v>
      </c>
    </row>
    <row r="13" spans="1:16" ht="9.9499999999999993" customHeight="1">
      <c r="A13" s="547" t="s">
        <v>1197</v>
      </c>
      <c r="B13" s="535">
        <f>5012.1-91.7</f>
        <v>4920.4000000000005</v>
      </c>
      <c r="C13" s="535">
        <v>1532.5</v>
      </c>
      <c r="D13" s="528">
        <f t="shared" si="0"/>
        <v>6452.9000000000005</v>
      </c>
      <c r="E13" s="535">
        <v>4488.8999999999996</v>
      </c>
      <c r="F13" s="535">
        <v>3528.3</v>
      </c>
      <c r="G13" s="528">
        <f t="shared" si="1"/>
        <v>8017.2</v>
      </c>
      <c r="H13" s="535">
        <v>1192.5999999999999</v>
      </c>
      <c r="I13" s="535">
        <v>4929.1000000000004</v>
      </c>
      <c r="J13" s="528">
        <f t="shared" si="2"/>
        <v>6121.7000000000007</v>
      </c>
      <c r="K13" s="520">
        <v>38947.599999999999</v>
      </c>
      <c r="L13" s="521">
        <f t="shared" si="3"/>
        <v>53086.5</v>
      </c>
      <c r="M13" s="520">
        <f>-9003.6+91.7</f>
        <v>-8911.9</v>
      </c>
      <c r="N13" s="520">
        <f t="shared" si="4"/>
        <v>44174.6</v>
      </c>
      <c r="O13" s="521">
        <f t="shared" si="5"/>
        <v>50627.5</v>
      </c>
      <c r="P13" s="548" t="s">
        <v>1197</v>
      </c>
    </row>
    <row r="14" spans="1:16" ht="9.9499999999999993" customHeight="1">
      <c r="A14" s="72" t="s">
        <v>1198</v>
      </c>
      <c r="B14" s="40">
        <f>5396.8-91.7</f>
        <v>5305.1</v>
      </c>
      <c r="C14" s="40">
        <v>1396.7</v>
      </c>
      <c r="D14" s="36">
        <f t="shared" si="0"/>
        <v>6701.8</v>
      </c>
      <c r="E14" s="40">
        <v>5295.5</v>
      </c>
      <c r="F14" s="40">
        <v>3976.5</v>
      </c>
      <c r="G14" s="36">
        <f t="shared" si="1"/>
        <v>9272</v>
      </c>
      <c r="H14" s="40">
        <v>1404.8</v>
      </c>
      <c r="I14" s="40">
        <v>5087.3999999999996</v>
      </c>
      <c r="J14" s="36">
        <f t="shared" si="2"/>
        <v>6492.2</v>
      </c>
      <c r="K14" s="424">
        <v>44205.8</v>
      </c>
      <c r="L14" s="425">
        <f t="shared" si="3"/>
        <v>59970</v>
      </c>
      <c r="M14" s="424">
        <f>-10894.4+91.7</f>
        <v>-10802.699999999999</v>
      </c>
      <c r="N14" s="424">
        <f t="shared" si="4"/>
        <v>49167.3</v>
      </c>
      <c r="O14" s="425">
        <f t="shared" si="5"/>
        <v>55869.100000000006</v>
      </c>
      <c r="P14" s="62" t="s">
        <v>1198</v>
      </c>
    </row>
    <row r="15" spans="1:16" ht="9.9499999999999993" customHeight="1">
      <c r="A15" s="547" t="s">
        <v>1199</v>
      </c>
      <c r="B15" s="535">
        <f>4708.9-91.7</f>
        <v>4617.2</v>
      </c>
      <c r="C15" s="535">
        <v>1693.4</v>
      </c>
      <c r="D15" s="528">
        <f t="shared" si="0"/>
        <v>6310.6</v>
      </c>
      <c r="E15" s="535">
        <v>6359.9</v>
      </c>
      <c r="F15" s="535">
        <v>4904.3999999999996</v>
      </c>
      <c r="G15" s="528">
        <f t="shared" si="1"/>
        <v>11264.3</v>
      </c>
      <c r="H15" s="535">
        <v>1365.6</v>
      </c>
      <c r="I15" s="535">
        <v>4944</v>
      </c>
      <c r="J15" s="528">
        <f t="shared" si="2"/>
        <v>6309.6</v>
      </c>
      <c r="K15" s="520">
        <f>50429.2+695.4</f>
        <v>51124.6</v>
      </c>
      <c r="L15" s="521">
        <f t="shared" si="3"/>
        <v>68698.5</v>
      </c>
      <c r="M15" s="520">
        <f>-11378.3-695.4+91.7</f>
        <v>-11981.999999999998</v>
      </c>
      <c r="N15" s="520">
        <f t="shared" si="4"/>
        <v>56716.5</v>
      </c>
      <c r="O15" s="521">
        <f t="shared" si="5"/>
        <v>63027.1</v>
      </c>
      <c r="P15" s="548" t="s">
        <v>1199</v>
      </c>
    </row>
    <row r="16" spans="1:16" ht="9.9499999999999993" customHeight="1">
      <c r="A16" s="72" t="s">
        <v>1200</v>
      </c>
      <c r="B16" s="40">
        <f>5971.3-305.2</f>
        <v>5666.1</v>
      </c>
      <c r="C16" s="40">
        <v>2602.6999999999998</v>
      </c>
      <c r="D16" s="36">
        <f t="shared" si="0"/>
        <v>8268.7999999999993</v>
      </c>
      <c r="E16" s="40">
        <v>8098</v>
      </c>
      <c r="F16" s="40">
        <v>6691.5</v>
      </c>
      <c r="G16" s="36">
        <f t="shared" si="1"/>
        <v>14789.5</v>
      </c>
      <c r="H16" s="40">
        <v>1320.7</v>
      </c>
      <c r="I16" s="40">
        <v>5188.3</v>
      </c>
      <c r="J16" s="36">
        <f t="shared" si="2"/>
        <v>6509</v>
      </c>
      <c r="K16" s="424">
        <f>55731.8+788.7</f>
        <v>56520.5</v>
      </c>
      <c r="L16" s="425">
        <f t="shared" si="3"/>
        <v>77819</v>
      </c>
      <c r="M16" s="424">
        <f>-10841.9-788.7+305.2</f>
        <v>-11325.4</v>
      </c>
      <c r="N16" s="424">
        <f t="shared" si="4"/>
        <v>66493.600000000006</v>
      </c>
      <c r="O16" s="425">
        <f t="shared" si="5"/>
        <v>74762.400000000009</v>
      </c>
      <c r="P16" s="62" t="s">
        <v>1200</v>
      </c>
    </row>
    <row r="17" spans="1:16" ht="9.9499999999999993" customHeight="1">
      <c r="A17" s="547" t="s">
        <v>1201</v>
      </c>
      <c r="B17" s="535">
        <f>5144-331.6</f>
        <v>4812.3999999999996</v>
      </c>
      <c r="C17" s="535">
        <v>2341.3000000000002</v>
      </c>
      <c r="D17" s="528">
        <f t="shared" si="0"/>
        <v>7153.7</v>
      </c>
      <c r="E17" s="535">
        <v>10107.299999999999</v>
      </c>
      <c r="F17" s="535" t="s">
        <v>1254</v>
      </c>
      <c r="G17" s="528">
        <f>E17+7586.5</f>
        <v>17693.8</v>
      </c>
      <c r="H17" s="535">
        <f>1305.1</f>
        <v>1305.0999999999999</v>
      </c>
      <c r="I17" s="535">
        <v>6388.6</v>
      </c>
      <c r="J17" s="528">
        <f>H17+I17</f>
        <v>7693.7000000000007</v>
      </c>
      <c r="K17" s="520">
        <f>64781.6+877.1</f>
        <v>65658.7</v>
      </c>
      <c r="L17" s="521">
        <f t="shared" si="3"/>
        <v>91046.2</v>
      </c>
      <c r="M17" s="520">
        <f>-10480.2-877.1+331.6</f>
        <v>-11025.7</v>
      </c>
      <c r="N17" s="520">
        <f t="shared" si="4"/>
        <v>80020.5</v>
      </c>
      <c r="O17" s="521">
        <f t="shared" si="5"/>
        <v>87174.2</v>
      </c>
      <c r="P17" s="548" t="s">
        <v>1201</v>
      </c>
    </row>
    <row r="18" spans="1:16" ht="9.9499999999999993" customHeight="1">
      <c r="A18" s="72" t="s">
        <v>1202</v>
      </c>
      <c r="B18" s="40">
        <f>7590.2-359.8</f>
        <v>7230.4</v>
      </c>
      <c r="C18" s="40">
        <v>2003.5</v>
      </c>
      <c r="D18" s="36">
        <f t="shared" si="0"/>
        <v>9233.9</v>
      </c>
      <c r="E18" s="40">
        <v>12834.3</v>
      </c>
      <c r="F18" s="40">
        <v>7427.9</v>
      </c>
      <c r="G18" s="36">
        <f t="shared" si="1"/>
        <v>20262.199999999997</v>
      </c>
      <c r="H18" s="40">
        <v>1277.5999999999999</v>
      </c>
      <c r="I18" s="40">
        <v>6302.7</v>
      </c>
      <c r="J18" s="36">
        <f t="shared" si="2"/>
        <v>7580.2999999999993</v>
      </c>
      <c r="K18" s="424">
        <f>73555.2+999</f>
        <v>74554.2</v>
      </c>
      <c r="L18" s="425">
        <f t="shared" si="3"/>
        <v>102396.7</v>
      </c>
      <c r="M18" s="424">
        <f>-12375.4-999+359.8</f>
        <v>-13014.6</v>
      </c>
      <c r="N18" s="424">
        <f t="shared" si="4"/>
        <v>89382.099999999991</v>
      </c>
      <c r="O18" s="425">
        <f t="shared" si="5"/>
        <v>98615.999999999985</v>
      </c>
      <c r="P18" s="62" t="s">
        <v>1202</v>
      </c>
    </row>
    <row r="19" spans="1:16" s="16" customFormat="1" ht="9.9499999999999993" customHeight="1">
      <c r="A19" s="547" t="s">
        <v>1203</v>
      </c>
      <c r="B19" s="535">
        <f>12188.8-379.1</f>
        <v>11809.699999999999</v>
      </c>
      <c r="C19" s="535">
        <v>1781.6</v>
      </c>
      <c r="D19" s="528">
        <f t="shared" si="0"/>
        <v>13591.3</v>
      </c>
      <c r="E19" s="535">
        <v>7353.3</v>
      </c>
      <c r="F19" s="535">
        <v>11674.6</v>
      </c>
      <c r="G19" s="528">
        <f>E19+F19</f>
        <v>19027.900000000001</v>
      </c>
      <c r="H19" s="535">
        <f>1231.9+50</f>
        <v>1281.9000000000001</v>
      </c>
      <c r="I19" s="535">
        <v>6311.6</v>
      </c>
      <c r="J19" s="528">
        <f t="shared" si="2"/>
        <v>7593.5</v>
      </c>
      <c r="K19" s="520">
        <v>84027.6</v>
      </c>
      <c r="L19" s="521">
        <f t="shared" si="3"/>
        <v>110649</v>
      </c>
      <c r="M19" s="520">
        <f>-10624.9+379.1</f>
        <v>-10245.799999999999</v>
      </c>
      <c r="N19" s="520">
        <f t="shared" si="4"/>
        <v>100403.2</v>
      </c>
      <c r="O19" s="521">
        <f t="shared" si="5"/>
        <v>113994.5</v>
      </c>
      <c r="P19" s="548" t="s">
        <v>1203</v>
      </c>
    </row>
    <row r="20" spans="1:16" ht="9.9499999999999993" customHeight="1">
      <c r="A20" s="72" t="s">
        <v>1204</v>
      </c>
      <c r="B20" s="441">
        <f>13959.5-417.2</f>
        <v>13542.3</v>
      </c>
      <c r="C20" s="40">
        <v>2370.8000000000002</v>
      </c>
      <c r="D20" s="36">
        <f t="shared" si="0"/>
        <v>15913.099999999999</v>
      </c>
      <c r="E20" s="40">
        <f>11897.6-50</f>
        <v>11847.6</v>
      </c>
      <c r="F20" s="40">
        <v>10051.200000000001</v>
      </c>
      <c r="G20" s="36">
        <f t="shared" si="1"/>
        <v>21898.800000000003</v>
      </c>
      <c r="H20" s="40">
        <f>1191.1+50</f>
        <v>1241.0999999999999</v>
      </c>
      <c r="I20" s="40">
        <v>7776.6</v>
      </c>
      <c r="J20" s="36">
        <f t="shared" si="2"/>
        <v>9017.7000000000007</v>
      </c>
      <c r="K20" s="424">
        <v>95869.4</v>
      </c>
      <c r="L20" s="425">
        <f t="shared" si="3"/>
        <v>126785.9</v>
      </c>
      <c r="M20" s="424">
        <f>-13395+417.2</f>
        <v>-12977.8</v>
      </c>
      <c r="N20" s="424">
        <f t="shared" si="4"/>
        <v>113808.09999999999</v>
      </c>
      <c r="O20" s="425">
        <f t="shared" si="5"/>
        <v>129721.19999999998</v>
      </c>
      <c r="P20" s="62" t="s">
        <v>1204</v>
      </c>
    </row>
    <row r="21" spans="1:16" ht="9.9499999999999993" customHeight="1">
      <c r="A21" s="547" t="s">
        <v>1205</v>
      </c>
      <c r="B21" s="856">
        <v>14678.2</v>
      </c>
      <c r="C21" s="535">
        <v>3540.1</v>
      </c>
      <c r="D21" s="528">
        <f t="shared" ref="D21:D28" si="6">B21+C21</f>
        <v>18218.3</v>
      </c>
      <c r="E21" s="535">
        <f>15724.3-50</f>
        <v>15674.3</v>
      </c>
      <c r="F21" s="535">
        <v>9908.4</v>
      </c>
      <c r="G21" s="534">
        <f t="shared" si="1"/>
        <v>25582.699999999997</v>
      </c>
      <c r="H21" s="535">
        <f>1055.6+50</f>
        <v>1105.5999999999999</v>
      </c>
      <c r="I21" s="535">
        <v>10133.5</v>
      </c>
      <c r="J21" s="528">
        <f t="shared" ref="J21:J27" si="7">H21+I21</f>
        <v>11239.1</v>
      </c>
      <c r="K21" s="520">
        <v>112015.5</v>
      </c>
      <c r="L21" s="521">
        <f>G21+J21+K21</f>
        <v>148837.29999999999</v>
      </c>
      <c r="M21" s="820">
        <v>-15609.199999999999</v>
      </c>
      <c r="N21" s="520">
        <f t="shared" ref="N21:N26" si="8">L21+M21</f>
        <v>133228.09999999998</v>
      </c>
      <c r="O21" s="521">
        <f>D21+N21</f>
        <v>151446.39999999997</v>
      </c>
      <c r="P21" s="548" t="s">
        <v>1205</v>
      </c>
    </row>
    <row r="22" spans="1:16" ht="9.9499999999999993" customHeight="1">
      <c r="A22" s="72" t="s">
        <v>1210</v>
      </c>
      <c r="B22" s="854">
        <v>18640.3</v>
      </c>
      <c r="C22" s="40">
        <v>2870.7</v>
      </c>
      <c r="D22" s="36">
        <f t="shared" si="6"/>
        <v>21511</v>
      </c>
      <c r="E22" s="968">
        <v>24982.7</v>
      </c>
      <c r="F22" s="968">
        <v>6551.5</v>
      </c>
      <c r="G22" s="37">
        <f t="shared" ref="G22:G27" si="9">E22+F22</f>
        <v>31534.2</v>
      </c>
      <c r="H22" s="40">
        <f>966+50</f>
        <v>1016</v>
      </c>
      <c r="I22" s="968">
        <v>13544.6</v>
      </c>
      <c r="J22" s="36">
        <f t="shared" si="7"/>
        <v>14560.6</v>
      </c>
      <c r="K22" s="424">
        <v>132317.5</v>
      </c>
      <c r="L22" s="425">
        <f>G22+J22+K22</f>
        <v>178412.3</v>
      </c>
      <c r="M22" s="968">
        <v>-19249</v>
      </c>
      <c r="N22" s="424">
        <f t="shared" si="8"/>
        <v>159163.29999999999</v>
      </c>
      <c r="O22" s="425">
        <f>D22+N22</f>
        <v>180674.3</v>
      </c>
      <c r="P22" s="62" t="s">
        <v>1210</v>
      </c>
    </row>
    <row r="23" spans="1:16" ht="9.9499999999999993" customHeight="1">
      <c r="A23" s="547" t="s">
        <v>1219</v>
      </c>
      <c r="B23" s="856">
        <v>28758.400000000001</v>
      </c>
      <c r="C23" s="528">
        <v>3622.8</v>
      </c>
      <c r="D23" s="528">
        <f t="shared" si="6"/>
        <v>32381.200000000001</v>
      </c>
      <c r="E23" s="970">
        <v>25074.9</v>
      </c>
      <c r="F23" s="970">
        <v>10863.9</v>
      </c>
      <c r="G23" s="528">
        <f t="shared" si="9"/>
        <v>35938.800000000003</v>
      </c>
      <c r="H23" s="528">
        <v>988</v>
      </c>
      <c r="I23" s="970">
        <v>15057.5</v>
      </c>
      <c r="J23" s="534">
        <f t="shared" si="7"/>
        <v>16045.5</v>
      </c>
      <c r="K23" s="530">
        <v>152177.1</v>
      </c>
      <c r="L23" s="530">
        <f>G23+J23+K23</f>
        <v>204161.40000000002</v>
      </c>
      <c r="M23" s="970">
        <v>-25038.2</v>
      </c>
      <c r="N23" s="530">
        <f t="shared" si="8"/>
        <v>179123.20000000001</v>
      </c>
      <c r="O23" s="530">
        <f>D23+N23</f>
        <v>211504.40000000002</v>
      </c>
      <c r="P23" s="548" t="s">
        <v>1219</v>
      </c>
    </row>
    <row r="24" spans="1:16" ht="9.9499999999999993" customHeight="1">
      <c r="A24" s="72" t="s">
        <v>916</v>
      </c>
      <c r="B24" s="854">
        <v>32813.800000000003</v>
      </c>
      <c r="C24" s="37">
        <v>4482.1000000000004</v>
      </c>
      <c r="D24" s="37">
        <f t="shared" si="6"/>
        <v>37295.9</v>
      </c>
      <c r="E24" s="968">
        <v>25927.7</v>
      </c>
      <c r="F24" s="968">
        <v>20823.3</v>
      </c>
      <c r="G24" s="36">
        <f t="shared" si="9"/>
        <v>46751</v>
      </c>
      <c r="H24" s="37">
        <v>946.4</v>
      </c>
      <c r="I24" s="968">
        <v>9216</v>
      </c>
      <c r="J24" s="37">
        <f t="shared" si="7"/>
        <v>10162.4</v>
      </c>
      <c r="K24" s="410">
        <v>190135.7</v>
      </c>
      <c r="L24" s="425">
        <f t="shared" si="3"/>
        <v>247049.1</v>
      </c>
      <c r="M24" s="968">
        <v>-35550.199999999997</v>
      </c>
      <c r="N24" s="425">
        <f t="shared" si="8"/>
        <v>211498.90000000002</v>
      </c>
      <c r="O24" s="410">
        <f>D24+N24</f>
        <v>248794.80000000002</v>
      </c>
      <c r="P24" s="62" t="s">
        <v>916</v>
      </c>
    </row>
    <row r="25" spans="1:16" ht="9.9499999999999993" customHeight="1">
      <c r="A25" s="547" t="s">
        <v>230</v>
      </c>
      <c r="B25" s="856">
        <v>43227.5</v>
      </c>
      <c r="C25" s="534">
        <v>4214.5</v>
      </c>
      <c r="D25" s="528">
        <f t="shared" si="6"/>
        <v>47442</v>
      </c>
      <c r="E25" s="970">
        <v>28471.5</v>
      </c>
      <c r="F25" s="970">
        <v>29536.1</v>
      </c>
      <c r="G25" s="534">
        <f t="shared" si="9"/>
        <v>58007.6</v>
      </c>
      <c r="H25" s="534">
        <v>853.1</v>
      </c>
      <c r="I25" s="970">
        <v>10066.6</v>
      </c>
      <c r="J25" s="534">
        <f t="shared" si="7"/>
        <v>10919.7</v>
      </c>
      <c r="K25" s="530">
        <v>217927.5</v>
      </c>
      <c r="L25" s="521">
        <f t="shared" si="3"/>
        <v>286854.8</v>
      </c>
      <c r="M25" s="970">
        <v>-37797</v>
      </c>
      <c r="N25" s="521">
        <f t="shared" si="8"/>
        <v>249057.8</v>
      </c>
      <c r="O25" s="530">
        <v>296499.7</v>
      </c>
      <c r="P25" s="548" t="s">
        <v>230</v>
      </c>
    </row>
    <row r="26" spans="1:16" ht="9.9499999999999993" customHeight="1">
      <c r="A26" s="72" t="s">
        <v>220</v>
      </c>
      <c r="B26" s="846">
        <v>61181</v>
      </c>
      <c r="C26" s="37">
        <v>5868.8</v>
      </c>
      <c r="D26" s="37">
        <f t="shared" si="6"/>
        <v>67049.8</v>
      </c>
      <c r="E26" s="968">
        <v>21471.200000000001</v>
      </c>
      <c r="F26" s="968">
        <v>32781.699999999997</v>
      </c>
      <c r="G26" s="37">
        <f t="shared" si="9"/>
        <v>54252.899999999994</v>
      </c>
      <c r="H26" s="37">
        <v>830.7</v>
      </c>
      <c r="I26" s="968">
        <v>11983.2</v>
      </c>
      <c r="J26" s="37">
        <f t="shared" si="7"/>
        <v>12813.900000000001</v>
      </c>
      <c r="K26" s="410">
        <v>270760.8</v>
      </c>
      <c r="L26" s="425">
        <f t="shared" si="3"/>
        <v>337827.6</v>
      </c>
      <c r="M26" s="968">
        <v>-41846</v>
      </c>
      <c r="N26" s="425">
        <f t="shared" si="8"/>
        <v>295981.59999999998</v>
      </c>
      <c r="O26" s="410">
        <v>363031.2</v>
      </c>
      <c r="P26" s="62" t="s">
        <v>220</v>
      </c>
    </row>
    <row r="27" spans="1:16" ht="9.75" customHeight="1">
      <c r="A27" s="547" t="s">
        <v>489</v>
      </c>
      <c r="B27" s="847">
        <v>61342.1</v>
      </c>
      <c r="C27" s="534">
        <v>9231.2999999999993</v>
      </c>
      <c r="D27" s="534">
        <f t="shared" si="6"/>
        <v>70573.399999999994</v>
      </c>
      <c r="E27" s="970">
        <v>31710.5</v>
      </c>
      <c r="F27" s="970">
        <v>41517.4</v>
      </c>
      <c r="G27" s="534">
        <f t="shared" si="9"/>
        <v>73227.899999999994</v>
      </c>
      <c r="H27" s="534">
        <v>776.7</v>
      </c>
      <c r="I27" s="970">
        <v>16175.7</v>
      </c>
      <c r="J27" s="534">
        <f t="shared" si="7"/>
        <v>16952.400000000001</v>
      </c>
      <c r="K27" s="530">
        <v>340712.7</v>
      </c>
      <c r="L27" s="521">
        <f t="shared" si="3"/>
        <v>430893</v>
      </c>
      <c r="M27" s="970">
        <v>-60946.400000000001</v>
      </c>
      <c r="N27" s="521">
        <v>369946.5</v>
      </c>
      <c r="O27" s="530">
        <v>440519.9</v>
      </c>
      <c r="P27" s="548" t="s">
        <v>489</v>
      </c>
    </row>
    <row r="28" spans="1:16" s="317" customFormat="1" ht="9.9499999999999993" customHeight="1">
      <c r="A28" s="958" t="s">
        <v>1580</v>
      </c>
      <c r="B28" s="846">
        <v>68930.100000000006</v>
      </c>
      <c r="C28" s="42">
        <v>9888.6</v>
      </c>
      <c r="D28" s="37">
        <f t="shared" si="6"/>
        <v>78818.700000000012</v>
      </c>
      <c r="E28" s="968">
        <v>37854.9</v>
      </c>
      <c r="F28" s="968">
        <v>53873.9</v>
      </c>
      <c r="G28" s="42">
        <v>91728.9</v>
      </c>
      <c r="H28" s="42">
        <v>1181.9000000000001</v>
      </c>
      <c r="I28" s="968">
        <v>14160.2</v>
      </c>
      <c r="J28" s="42">
        <v>15342.1</v>
      </c>
      <c r="K28" s="482">
        <v>407901.60000000003</v>
      </c>
      <c r="L28" s="433">
        <v>514972.60000000003</v>
      </c>
      <c r="M28" s="968">
        <v>-76681.7</v>
      </c>
      <c r="N28" s="433">
        <v>438290.80000000005</v>
      </c>
      <c r="O28" s="482">
        <v>517109.50000000006</v>
      </c>
      <c r="P28" s="942" t="s">
        <v>1580</v>
      </c>
    </row>
    <row r="29" spans="1:16" s="317" customFormat="1" ht="9.9499999999999993" customHeight="1">
      <c r="A29" s="547" t="s">
        <v>1809</v>
      </c>
      <c r="B29" s="847">
        <v>103246</v>
      </c>
      <c r="C29" s="534">
        <v>10004.200000000001</v>
      </c>
      <c r="D29" s="534">
        <v>113250.2</v>
      </c>
      <c r="E29" s="970">
        <v>27069</v>
      </c>
      <c r="F29" s="970">
        <v>83055.600000000006</v>
      </c>
      <c r="G29" s="534">
        <v>110124.6</v>
      </c>
      <c r="H29" s="534">
        <v>1354.5</v>
      </c>
      <c r="I29" s="970">
        <v>8100.8</v>
      </c>
      <c r="J29" s="534">
        <v>9455.2999999999993</v>
      </c>
      <c r="K29" s="530">
        <v>452157.2</v>
      </c>
      <c r="L29" s="521">
        <v>571737.1</v>
      </c>
      <c r="M29" s="970">
        <v>-81481.7</v>
      </c>
      <c r="N29" s="521">
        <f>L29+M29</f>
        <v>490255.39999999997</v>
      </c>
      <c r="O29" s="521">
        <f>D29+N29</f>
        <v>603505.6</v>
      </c>
      <c r="P29" s="548" t="s">
        <v>1809</v>
      </c>
    </row>
    <row r="30" spans="1:16" s="918" customFormat="1" ht="9.9499999999999993" customHeight="1">
      <c r="A30" s="931" t="s">
        <v>2226</v>
      </c>
      <c r="B30" s="657">
        <f>B42</f>
        <v>147496.6</v>
      </c>
      <c r="C30" s="657">
        <f>C42</f>
        <v>12560</v>
      </c>
      <c r="D30" s="657">
        <f t="shared" ref="D30:O30" si="10">D42</f>
        <v>160056.6</v>
      </c>
      <c r="E30" s="657">
        <f t="shared" si="10"/>
        <v>3840.6</v>
      </c>
      <c r="F30" s="657">
        <f t="shared" si="10"/>
        <v>113688.8</v>
      </c>
      <c r="G30" s="657">
        <f t="shared" si="10"/>
        <v>117529.40000000001</v>
      </c>
      <c r="H30" s="657">
        <f t="shared" si="10"/>
        <v>1202.7</v>
      </c>
      <c r="I30" s="657">
        <f t="shared" si="10"/>
        <v>11534.2</v>
      </c>
      <c r="J30" s="657">
        <f t="shared" si="10"/>
        <v>12736.900000000001</v>
      </c>
      <c r="K30" s="657">
        <f t="shared" si="10"/>
        <v>507639.9</v>
      </c>
      <c r="L30" s="657">
        <f t="shared" si="10"/>
        <v>637906.20000000007</v>
      </c>
      <c r="M30" s="657">
        <f t="shared" si="10"/>
        <v>-97339.3</v>
      </c>
      <c r="N30" s="657">
        <f t="shared" si="10"/>
        <v>540566.9</v>
      </c>
      <c r="O30" s="657">
        <f t="shared" si="10"/>
        <v>700623.5</v>
      </c>
      <c r="P30" s="932" t="s">
        <v>2226</v>
      </c>
    </row>
    <row r="31" spans="1:16" s="482" customFormat="1" ht="9.9499999999999993" hidden="1" customHeight="1">
      <c r="A31" s="519" t="s">
        <v>1211</v>
      </c>
      <c r="B31" s="845">
        <v>106752.9</v>
      </c>
      <c r="C31" s="845">
        <v>9856.5</v>
      </c>
      <c r="D31" s="845">
        <f>B31+C31</f>
        <v>116609.4</v>
      </c>
      <c r="E31" s="845">
        <v>24642.3</v>
      </c>
      <c r="F31" s="845">
        <v>90064.2</v>
      </c>
      <c r="G31" s="521">
        <f t="shared" ref="G31:G39" si="11">E31+F31</f>
        <v>114706.5</v>
      </c>
      <c r="H31" s="845">
        <v>1347.3</v>
      </c>
      <c r="I31" s="845">
        <v>9033.2999999999993</v>
      </c>
      <c r="J31" s="521">
        <f>H31+I31</f>
        <v>10380.599999999999</v>
      </c>
      <c r="K31" s="845">
        <v>456476</v>
      </c>
      <c r="L31" s="521">
        <f t="shared" ref="L31:L55" si="12">G31+J31+K31</f>
        <v>581563.1</v>
      </c>
      <c r="M31" s="521">
        <v>-84672.4</v>
      </c>
      <c r="N31" s="521">
        <f>L31+M31</f>
        <v>496890.69999999995</v>
      </c>
      <c r="O31" s="521">
        <f t="shared" ref="O31:O36" si="13">D31+N31</f>
        <v>613500.1</v>
      </c>
      <c r="P31" s="735" t="s">
        <v>1211</v>
      </c>
    </row>
    <row r="32" spans="1:16" s="482" customFormat="1" ht="9.9499999999999993" hidden="1" customHeight="1">
      <c r="A32" s="431" t="s">
        <v>1212</v>
      </c>
      <c r="B32" s="852">
        <v>109387.8</v>
      </c>
      <c r="C32" s="852">
        <v>10043.800000000001</v>
      </c>
      <c r="D32" s="852">
        <f t="shared" ref="D32:D39" si="14">B32+C32</f>
        <v>119431.6</v>
      </c>
      <c r="E32" s="852">
        <v>19429.099999999999</v>
      </c>
      <c r="F32" s="852">
        <v>90870</v>
      </c>
      <c r="G32" s="433">
        <f t="shared" si="11"/>
        <v>110299.1</v>
      </c>
      <c r="H32" s="852">
        <f>1254+40.4+50+2.7</f>
        <v>1347.1000000000001</v>
      </c>
      <c r="I32" s="852">
        <v>8941</v>
      </c>
      <c r="J32" s="433">
        <f t="shared" ref="J32:J55" si="15">H32+I32</f>
        <v>10288.1</v>
      </c>
      <c r="K32" s="852">
        <v>460618.7</v>
      </c>
      <c r="L32" s="433">
        <f t="shared" si="12"/>
        <v>581205.9</v>
      </c>
      <c r="M32" s="433">
        <v>-80640.800000000003</v>
      </c>
      <c r="N32" s="433">
        <f t="shared" ref="N32:N39" si="16">L32+M32</f>
        <v>500565.10000000003</v>
      </c>
      <c r="O32" s="433">
        <f t="shared" si="13"/>
        <v>619996.70000000007</v>
      </c>
      <c r="P32" s="762" t="s">
        <v>1212</v>
      </c>
    </row>
    <row r="33" spans="1:16" s="482" customFormat="1" ht="9.9499999999999993" hidden="1" customHeight="1">
      <c r="A33" s="519" t="s">
        <v>1206</v>
      </c>
      <c r="B33" s="845">
        <v>111688.5</v>
      </c>
      <c r="C33" s="845">
        <v>10452.300000000001</v>
      </c>
      <c r="D33" s="845">
        <f t="shared" si="14"/>
        <v>122140.8</v>
      </c>
      <c r="E33" s="845">
        <v>17066.8</v>
      </c>
      <c r="F33" s="845">
        <v>92858.8</v>
      </c>
      <c r="G33" s="521">
        <f>E33+F33</f>
        <v>109925.6</v>
      </c>
      <c r="H33" s="528">
        <f>50+40.7+5.3+1254</f>
        <v>1350</v>
      </c>
      <c r="I33" s="845">
        <v>9203.2999999999993</v>
      </c>
      <c r="J33" s="521">
        <f t="shared" si="15"/>
        <v>10553.3</v>
      </c>
      <c r="K33" s="845">
        <v>465789.5</v>
      </c>
      <c r="L33" s="521">
        <f t="shared" si="12"/>
        <v>586268.4</v>
      </c>
      <c r="M33" s="521">
        <v>-81685.3</v>
      </c>
      <c r="N33" s="521">
        <f t="shared" si="16"/>
        <v>504583.10000000003</v>
      </c>
      <c r="O33" s="521">
        <f t="shared" si="13"/>
        <v>626723.9</v>
      </c>
      <c r="P33" s="735" t="s">
        <v>1206</v>
      </c>
    </row>
    <row r="34" spans="1:16" s="482" customFormat="1" ht="9.9499999999999993" hidden="1" customHeight="1">
      <c r="A34" s="431" t="s">
        <v>1213</v>
      </c>
      <c r="B34" s="852">
        <v>117666.6</v>
      </c>
      <c r="C34" s="852">
        <v>9892.4</v>
      </c>
      <c r="D34" s="852">
        <f t="shared" si="14"/>
        <v>127559</v>
      </c>
      <c r="E34" s="852">
        <v>21871.599999999999</v>
      </c>
      <c r="F34" s="852">
        <v>92689.8</v>
      </c>
      <c r="G34" s="433">
        <f t="shared" si="11"/>
        <v>114561.4</v>
      </c>
      <c r="H34" s="37">
        <f>50+40.9+1253.8+8</f>
        <v>1352.7</v>
      </c>
      <c r="I34" s="852">
        <v>9512.4</v>
      </c>
      <c r="J34" s="433">
        <f t="shared" si="15"/>
        <v>10865.1</v>
      </c>
      <c r="K34" s="852">
        <v>468466.5</v>
      </c>
      <c r="L34" s="433">
        <f t="shared" si="12"/>
        <v>593893</v>
      </c>
      <c r="M34" s="433">
        <v>-81134.8</v>
      </c>
      <c r="N34" s="433">
        <f t="shared" si="16"/>
        <v>512758.2</v>
      </c>
      <c r="O34" s="433">
        <f t="shared" si="13"/>
        <v>640317.19999999995</v>
      </c>
      <c r="P34" s="762" t="s">
        <v>1213</v>
      </c>
    </row>
    <row r="35" spans="1:16" s="482" customFormat="1" ht="9.9499999999999993" hidden="1" customHeight="1">
      <c r="A35" s="519" t="s">
        <v>1214</v>
      </c>
      <c r="B35" s="845">
        <v>120038.5</v>
      </c>
      <c r="C35" s="845">
        <v>10550.800000000001</v>
      </c>
      <c r="D35" s="845">
        <f t="shared" si="14"/>
        <v>130589.3</v>
      </c>
      <c r="E35" s="845">
        <v>18079.2</v>
      </c>
      <c r="F35" s="845">
        <v>95852.4</v>
      </c>
      <c r="G35" s="521">
        <f t="shared" si="11"/>
        <v>113931.59999999999</v>
      </c>
      <c r="H35" s="521">
        <f>50+41+1253.5+10.5</f>
        <v>1355</v>
      </c>
      <c r="I35" s="845">
        <v>9874.4</v>
      </c>
      <c r="J35" s="521">
        <f t="shared" si="15"/>
        <v>11229.4</v>
      </c>
      <c r="K35" s="845">
        <v>471319.1</v>
      </c>
      <c r="L35" s="521">
        <f t="shared" si="12"/>
        <v>596480.1</v>
      </c>
      <c r="M35" s="521">
        <v>-84493.4</v>
      </c>
      <c r="N35" s="521">
        <f t="shared" si="16"/>
        <v>511986.69999999995</v>
      </c>
      <c r="O35" s="521">
        <f t="shared" si="13"/>
        <v>642576</v>
      </c>
      <c r="P35" s="735" t="s">
        <v>1214</v>
      </c>
    </row>
    <row r="36" spans="1:16" s="482" customFormat="1" ht="9.9499999999999993" hidden="1" customHeight="1">
      <c r="A36" s="431" t="s">
        <v>1207</v>
      </c>
      <c r="B36" s="852">
        <v>123425.7</v>
      </c>
      <c r="C36" s="852">
        <v>10742.7</v>
      </c>
      <c r="D36" s="852">
        <f t="shared" si="14"/>
        <v>134168.4</v>
      </c>
      <c r="E36" s="852">
        <v>18173.400000000001</v>
      </c>
      <c r="F36" s="852">
        <v>96671.7</v>
      </c>
      <c r="G36" s="433">
        <f t="shared" si="11"/>
        <v>114845.1</v>
      </c>
      <c r="H36" s="852">
        <f>50+40.4+1253.5+15.9</f>
        <v>1359.8000000000002</v>
      </c>
      <c r="I36" s="852">
        <v>10997.9</v>
      </c>
      <c r="J36" s="433">
        <f t="shared" si="15"/>
        <v>12357.7</v>
      </c>
      <c r="K36" s="852">
        <v>478766.6</v>
      </c>
      <c r="L36" s="433">
        <f t="shared" si="12"/>
        <v>605969.4</v>
      </c>
      <c r="M36" s="433">
        <v>-86171.199999999997</v>
      </c>
      <c r="N36" s="433">
        <f t="shared" si="16"/>
        <v>519798.2</v>
      </c>
      <c r="O36" s="433">
        <f t="shared" si="13"/>
        <v>653966.6</v>
      </c>
      <c r="P36" s="762" t="s">
        <v>1207</v>
      </c>
    </row>
    <row r="37" spans="1:16" s="482" customFormat="1" ht="9.9499999999999993" hidden="1" customHeight="1">
      <c r="A37" s="519" t="s">
        <v>1215</v>
      </c>
      <c r="B37" s="820">
        <v>125711.6</v>
      </c>
      <c r="C37" s="845">
        <v>10953</v>
      </c>
      <c r="D37" s="820">
        <f t="shared" si="14"/>
        <v>136664.6</v>
      </c>
      <c r="E37" s="820">
        <v>14599.7</v>
      </c>
      <c r="F37" s="845">
        <v>100340</v>
      </c>
      <c r="G37" s="521">
        <f t="shared" si="11"/>
        <v>114939.7</v>
      </c>
      <c r="H37" s="820">
        <v>1293.2</v>
      </c>
      <c r="I37" s="820">
        <v>11102.5</v>
      </c>
      <c r="J37" s="521">
        <f t="shared" si="15"/>
        <v>12395.7</v>
      </c>
      <c r="K37" s="820">
        <v>478128.7</v>
      </c>
      <c r="L37" s="521">
        <f t="shared" si="12"/>
        <v>605464.1</v>
      </c>
      <c r="M37" s="521">
        <v>-88363.199999999997</v>
      </c>
      <c r="N37" s="521">
        <f t="shared" si="16"/>
        <v>517100.89999999997</v>
      </c>
      <c r="O37" s="521">
        <f t="shared" ref="O37:O42" si="17">D37+N37</f>
        <v>653765.5</v>
      </c>
      <c r="P37" s="735" t="s">
        <v>1215</v>
      </c>
    </row>
    <row r="38" spans="1:16" s="482" customFormat="1" ht="9.9499999999999993" hidden="1" customHeight="1">
      <c r="A38" s="431" t="s">
        <v>1216</v>
      </c>
      <c r="B38" s="852">
        <v>130380.3</v>
      </c>
      <c r="C38" s="852">
        <v>12656.4</v>
      </c>
      <c r="D38" s="852">
        <f t="shared" si="14"/>
        <v>143036.70000000001</v>
      </c>
      <c r="E38" s="852">
        <v>13355.7</v>
      </c>
      <c r="F38" s="852">
        <v>102664.9</v>
      </c>
      <c r="G38" s="433">
        <f t="shared" si="11"/>
        <v>116020.59999999999</v>
      </c>
      <c r="H38" s="852">
        <v>1296</v>
      </c>
      <c r="I38" s="852">
        <v>11316.3</v>
      </c>
      <c r="J38" s="433">
        <f t="shared" si="15"/>
        <v>12612.3</v>
      </c>
      <c r="K38" s="852">
        <v>480176.4</v>
      </c>
      <c r="L38" s="433">
        <f t="shared" si="12"/>
        <v>608809.30000000005</v>
      </c>
      <c r="M38" s="433">
        <v>-89534.6</v>
      </c>
      <c r="N38" s="433">
        <f t="shared" si="16"/>
        <v>519274.70000000007</v>
      </c>
      <c r="O38" s="433">
        <f t="shared" si="17"/>
        <v>662311.40000000014</v>
      </c>
      <c r="P38" s="762" t="s">
        <v>1216</v>
      </c>
    </row>
    <row r="39" spans="1:16" s="482" customFormat="1" ht="9.9499999999999993" hidden="1" customHeight="1">
      <c r="A39" s="519" t="s">
        <v>1208</v>
      </c>
      <c r="B39" s="845">
        <v>134649.70000000001</v>
      </c>
      <c r="C39" s="845">
        <v>12257.800000000001</v>
      </c>
      <c r="D39" s="845">
        <f t="shared" si="14"/>
        <v>146907.5</v>
      </c>
      <c r="E39" s="845">
        <v>6391.3</v>
      </c>
      <c r="F39" s="845">
        <v>107653.3</v>
      </c>
      <c r="G39" s="521">
        <f t="shared" si="11"/>
        <v>114044.6</v>
      </c>
      <c r="H39" s="845">
        <v>1248.8</v>
      </c>
      <c r="I39" s="845">
        <v>12043</v>
      </c>
      <c r="J39" s="521">
        <f t="shared" si="15"/>
        <v>13291.8</v>
      </c>
      <c r="K39" s="845">
        <v>486378.4</v>
      </c>
      <c r="L39" s="521">
        <f t="shared" si="12"/>
        <v>613714.80000000005</v>
      </c>
      <c r="M39" s="521">
        <v>-92912.7</v>
      </c>
      <c r="N39" s="521">
        <f t="shared" si="16"/>
        <v>520802.10000000003</v>
      </c>
      <c r="O39" s="521">
        <f t="shared" si="17"/>
        <v>667709.60000000009</v>
      </c>
      <c r="P39" s="735" t="s">
        <v>1208</v>
      </c>
    </row>
    <row r="40" spans="1:16" s="482" customFormat="1" ht="9.9499999999999993" hidden="1" customHeight="1">
      <c r="A40" s="431" t="s">
        <v>1217</v>
      </c>
      <c r="B40" s="854">
        <v>137961.29999999999</v>
      </c>
      <c r="C40" s="854">
        <v>12390.8</v>
      </c>
      <c r="D40" s="852">
        <f>B40+C40</f>
        <v>150352.09999999998</v>
      </c>
      <c r="E40" s="852">
        <v>3294.3</v>
      </c>
      <c r="F40" s="852">
        <v>109859.9</v>
      </c>
      <c r="G40" s="433">
        <f>E40+F40</f>
        <v>113154.2</v>
      </c>
      <c r="H40" s="852">
        <v>1249.5</v>
      </c>
      <c r="I40" s="852">
        <v>11934.7</v>
      </c>
      <c r="J40" s="852">
        <f t="shared" si="15"/>
        <v>13184.2</v>
      </c>
      <c r="K40" s="852">
        <v>492409.7</v>
      </c>
      <c r="L40" s="852">
        <f t="shared" si="12"/>
        <v>618748.1</v>
      </c>
      <c r="M40" s="854">
        <v>-95527.6</v>
      </c>
      <c r="N40" s="852">
        <f>L40+M40</f>
        <v>523220.5</v>
      </c>
      <c r="O40" s="852">
        <f t="shared" si="17"/>
        <v>673572.6</v>
      </c>
      <c r="P40" s="762" t="s">
        <v>1217</v>
      </c>
    </row>
    <row r="41" spans="1:16" s="482" customFormat="1" ht="9.9499999999999993" hidden="1" customHeight="1">
      <c r="A41" s="519" t="s">
        <v>1218</v>
      </c>
      <c r="B41" s="856">
        <v>142295.5</v>
      </c>
      <c r="C41" s="856">
        <v>11908.7</v>
      </c>
      <c r="D41" s="845">
        <f>B41+C41</f>
        <v>154204.20000000001</v>
      </c>
      <c r="E41" s="847">
        <v>851</v>
      </c>
      <c r="F41" s="856">
        <v>111103.4</v>
      </c>
      <c r="G41" s="521">
        <f>E41+F41</f>
        <v>111954.4</v>
      </c>
      <c r="H41" s="856">
        <v>1250.7</v>
      </c>
      <c r="I41" s="856">
        <v>12655.7</v>
      </c>
      <c r="J41" s="845">
        <f t="shared" si="15"/>
        <v>13906.400000000001</v>
      </c>
      <c r="K41" s="856">
        <v>494720.5</v>
      </c>
      <c r="L41" s="845">
        <f t="shared" si="12"/>
        <v>620581.30000000005</v>
      </c>
      <c r="M41" s="856">
        <v>-92624.7</v>
      </c>
      <c r="N41" s="845">
        <f>L41+M41</f>
        <v>527956.60000000009</v>
      </c>
      <c r="O41" s="845">
        <f t="shared" si="17"/>
        <v>682160.8</v>
      </c>
      <c r="P41" s="735" t="s">
        <v>1218</v>
      </c>
    </row>
    <row r="42" spans="1:16" s="482" customFormat="1" ht="9.9499999999999993" hidden="1" customHeight="1">
      <c r="A42" s="431" t="s">
        <v>1209</v>
      </c>
      <c r="B42" s="854">
        <v>147496.6</v>
      </c>
      <c r="C42" s="846">
        <v>12560</v>
      </c>
      <c r="D42" s="852">
        <f>B42+C42</f>
        <v>160056.6</v>
      </c>
      <c r="E42" s="852">
        <v>3840.6</v>
      </c>
      <c r="F42" s="852">
        <v>113688.8</v>
      </c>
      <c r="G42" s="433">
        <f>E42+F42</f>
        <v>117529.40000000001</v>
      </c>
      <c r="H42" s="852">
        <v>1202.7</v>
      </c>
      <c r="I42" s="852">
        <v>11534.2</v>
      </c>
      <c r="J42" s="852">
        <f t="shared" si="15"/>
        <v>12736.900000000001</v>
      </c>
      <c r="K42" s="852">
        <v>507639.9</v>
      </c>
      <c r="L42" s="852">
        <f t="shared" si="12"/>
        <v>637906.20000000007</v>
      </c>
      <c r="M42" s="854">
        <v>-97339.3</v>
      </c>
      <c r="N42" s="852">
        <f>L42+M42</f>
        <v>540566.9</v>
      </c>
      <c r="O42" s="852">
        <f t="shared" si="17"/>
        <v>700623.5</v>
      </c>
      <c r="P42" s="762" t="s">
        <v>1209</v>
      </c>
    </row>
    <row r="43" spans="1:16" s="918" customFormat="1" ht="9.9499999999999993" customHeight="1">
      <c r="A43" s="639" t="s">
        <v>2376</v>
      </c>
      <c r="B43" s="1067">
        <f>B55</f>
        <v>177401.3</v>
      </c>
      <c r="C43" s="1067">
        <f>C55</f>
        <v>11827.5</v>
      </c>
      <c r="D43" s="1068">
        <f>D55</f>
        <v>189228.79999999999</v>
      </c>
      <c r="E43" s="1068">
        <f t="shared" ref="E43:O43" si="18">E55</f>
        <v>810.5</v>
      </c>
      <c r="F43" s="1068">
        <f t="shared" si="18"/>
        <v>109446.8</v>
      </c>
      <c r="G43" s="1068">
        <f t="shared" si="18"/>
        <v>110257.3</v>
      </c>
      <c r="H43" s="1068">
        <f t="shared" si="18"/>
        <v>2160.8000000000002</v>
      </c>
      <c r="I43" s="1068">
        <f t="shared" si="18"/>
        <v>14509</v>
      </c>
      <c r="J43" s="1068">
        <f t="shared" si="18"/>
        <v>16669.8</v>
      </c>
      <c r="K43" s="1068">
        <f t="shared" si="18"/>
        <v>574599.4</v>
      </c>
      <c r="L43" s="1068">
        <f t="shared" si="18"/>
        <v>701526.5</v>
      </c>
      <c r="M43" s="1068">
        <f t="shared" si="18"/>
        <v>-103141.2</v>
      </c>
      <c r="N43" s="1068">
        <f t="shared" si="18"/>
        <v>598385.30000000005</v>
      </c>
      <c r="O43" s="1068">
        <f t="shared" si="18"/>
        <v>787614.10000000009</v>
      </c>
      <c r="P43" s="930" t="s">
        <v>2376</v>
      </c>
    </row>
    <row r="44" spans="1:16" ht="9.9499999999999993" customHeight="1">
      <c r="A44" s="10" t="s">
        <v>1211</v>
      </c>
      <c r="B44" s="41">
        <v>150372.29999999999</v>
      </c>
      <c r="C44" s="41">
        <v>12248.3</v>
      </c>
      <c r="D44" s="41">
        <f t="shared" ref="D44:D55" si="19">B44+C44</f>
        <v>162620.59999999998</v>
      </c>
      <c r="E44" s="41">
        <v>9931.7000000000007</v>
      </c>
      <c r="F44" s="41">
        <v>114755</v>
      </c>
      <c r="G44" s="41">
        <f t="shared" ref="G44:G55" si="20">E44+F44</f>
        <v>124686.7</v>
      </c>
      <c r="H44" s="41">
        <v>1187.2</v>
      </c>
      <c r="I44" s="41">
        <v>12076.6</v>
      </c>
      <c r="J44" s="41">
        <f t="shared" si="15"/>
        <v>13263.800000000001</v>
      </c>
      <c r="K44" s="41">
        <v>507838.4</v>
      </c>
      <c r="L44" s="41">
        <f t="shared" si="12"/>
        <v>645788.9</v>
      </c>
      <c r="M44" s="41">
        <v>-93624.8</v>
      </c>
      <c r="N44" s="1144">
        <f t="shared" ref="N44:N49" si="21">L44+M44</f>
        <v>552164.1</v>
      </c>
      <c r="O44" s="41">
        <f t="shared" ref="O44:O49" si="22">D44+N44</f>
        <v>714784.7</v>
      </c>
      <c r="P44" s="188" t="s">
        <v>1211</v>
      </c>
    </row>
    <row r="45" spans="1:16" ht="9.9499999999999993" customHeight="1">
      <c r="A45" s="549" t="s">
        <v>1212</v>
      </c>
      <c r="B45" s="550">
        <v>152136.20000000001</v>
      </c>
      <c r="C45" s="550">
        <v>10943.1</v>
      </c>
      <c r="D45" s="550">
        <f t="shared" si="19"/>
        <v>163079.30000000002</v>
      </c>
      <c r="E45" s="550">
        <v>822.6</v>
      </c>
      <c r="F45" s="550">
        <v>118669.5</v>
      </c>
      <c r="G45" s="550">
        <f t="shared" si="20"/>
        <v>119492.1</v>
      </c>
      <c r="H45" s="550">
        <v>1139.9000000000001</v>
      </c>
      <c r="I45" s="550">
        <v>13509.8</v>
      </c>
      <c r="J45" s="550">
        <f t="shared" si="15"/>
        <v>14649.699999999999</v>
      </c>
      <c r="K45" s="550">
        <v>513083.1</v>
      </c>
      <c r="L45" s="550">
        <f t="shared" si="12"/>
        <v>647224.9</v>
      </c>
      <c r="M45" s="550">
        <v>-97218.5</v>
      </c>
      <c r="N45" s="550">
        <f t="shared" si="21"/>
        <v>550006.4</v>
      </c>
      <c r="O45" s="550">
        <f t="shared" si="22"/>
        <v>713085.70000000007</v>
      </c>
      <c r="P45" s="1143" t="s">
        <v>1212</v>
      </c>
    </row>
    <row r="46" spans="1:16" ht="9.9499999999999993" customHeight="1">
      <c r="A46" s="10" t="s">
        <v>1206</v>
      </c>
      <c r="B46" s="41">
        <v>154043.79999999999</v>
      </c>
      <c r="C46" s="41">
        <v>11048.5</v>
      </c>
      <c r="D46" s="41">
        <f t="shared" si="19"/>
        <v>165092.29999999999</v>
      </c>
      <c r="E46" s="41">
        <v>-2395.5</v>
      </c>
      <c r="F46" s="41">
        <v>123638.2</v>
      </c>
      <c r="G46" s="41">
        <f t="shared" si="20"/>
        <v>121242.7</v>
      </c>
      <c r="H46" s="41">
        <v>1092.8</v>
      </c>
      <c r="I46" s="41">
        <v>13484.1</v>
      </c>
      <c r="J46" s="41">
        <f t="shared" si="15"/>
        <v>14576.9</v>
      </c>
      <c r="K46" s="1144">
        <v>522399</v>
      </c>
      <c r="L46" s="41">
        <f t="shared" si="12"/>
        <v>658218.6</v>
      </c>
      <c r="M46" s="41">
        <v>-98307.5</v>
      </c>
      <c r="N46" s="41">
        <f t="shared" si="21"/>
        <v>559911.1</v>
      </c>
      <c r="O46" s="41">
        <f t="shared" si="22"/>
        <v>725003.39999999991</v>
      </c>
      <c r="P46" s="188" t="s">
        <v>1206</v>
      </c>
    </row>
    <row r="47" spans="1:16" ht="9.9499999999999993" customHeight="1">
      <c r="A47" s="549" t="s">
        <v>1213</v>
      </c>
      <c r="B47" s="550">
        <v>154510.20000000001</v>
      </c>
      <c r="C47" s="550">
        <v>9400.7000000000007</v>
      </c>
      <c r="D47" s="550">
        <f t="shared" si="19"/>
        <v>163910.90000000002</v>
      </c>
      <c r="E47" s="550">
        <v>-6420.5</v>
      </c>
      <c r="F47" s="550">
        <v>124057.1</v>
      </c>
      <c r="G47" s="550">
        <f t="shared" si="20"/>
        <v>117636.6</v>
      </c>
      <c r="H47" s="550">
        <v>1085.5999999999999</v>
      </c>
      <c r="I47" s="550">
        <v>13383.7</v>
      </c>
      <c r="J47" s="550">
        <f t="shared" si="15"/>
        <v>14469.300000000001</v>
      </c>
      <c r="K47" s="550">
        <v>525233.30000000005</v>
      </c>
      <c r="L47" s="550">
        <f t="shared" si="12"/>
        <v>657339.20000000007</v>
      </c>
      <c r="M47" s="550">
        <v>-100285.2</v>
      </c>
      <c r="N47" s="550">
        <f t="shared" si="21"/>
        <v>557054.00000000012</v>
      </c>
      <c r="O47" s="550">
        <f t="shared" si="22"/>
        <v>720964.90000000014</v>
      </c>
      <c r="P47" s="1143" t="s">
        <v>1213</v>
      </c>
    </row>
    <row r="48" spans="1:16" ht="9.9499999999999993" customHeight="1">
      <c r="A48" s="10" t="s">
        <v>1214</v>
      </c>
      <c r="B48" s="41">
        <v>153753.60000000001</v>
      </c>
      <c r="C48" s="41">
        <v>9968.5</v>
      </c>
      <c r="D48" s="41">
        <f t="shared" si="19"/>
        <v>163722.1</v>
      </c>
      <c r="E48" s="41">
        <v>-4858.6000000000004</v>
      </c>
      <c r="F48" s="41">
        <v>119548.9</v>
      </c>
      <c r="G48" s="41">
        <f t="shared" si="20"/>
        <v>114690.29999999999</v>
      </c>
      <c r="H48" s="41">
        <v>2152.3000000000002</v>
      </c>
      <c r="I48" s="41">
        <v>14145.5</v>
      </c>
      <c r="J48" s="41">
        <f t="shared" si="15"/>
        <v>16297.8</v>
      </c>
      <c r="K48" s="41">
        <v>531051.1</v>
      </c>
      <c r="L48" s="41">
        <f t="shared" si="12"/>
        <v>662039.19999999995</v>
      </c>
      <c r="M48" s="1144">
        <v>-100696.1</v>
      </c>
      <c r="N48" s="41">
        <f t="shared" si="21"/>
        <v>561343.1</v>
      </c>
      <c r="O48" s="41">
        <f t="shared" si="22"/>
        <v>725065.2</v>
      </c>
      <c r="P48" s="188" t="s">
        <v>1214</v>
      </c>
    </row>
    <row r="49" spans="1:18" ht="9.9499999999999993" customHeight="1">
      <c r="A49" s="543" t="s">
        <v>1207</v>
      </c>
      <c r="B49" s="534">
        <v>155959.20000000001</v>
      </c>
      <c r="C49" s="534">
        <v>11342.7</v>
      </c>
      <c r="D49" s="534">
        <f t="shared" si="19"/>
        <v>167301.90000000002</v>
      </c>
      <c r="E49" s="534">
        <v>-6984.9</v>
      </c>
      <c r="F49" s="534">
        <v>119075.5</v>
      </c>
      <c r="G49" s="534">
        <f t="shared" si="20"/>
        <v>112090.6</v>
      </c>
      <c r="H49" s="534">
        <v>2107.6</v>
      </c>
      <c r="I49" s="534">
        <v>16129.2</v>
      </c>
      <c r="J49" s="534">
        <f t="shared" si="15"/>
        <v>18236.8</v>
      </c>
      <c r="K49" s="534">
        <v>543407.19999999995</v>
      </c>
      <c r="L49" s="534">
        <f t="shared" si="12"/>
        <v>673734.6</v>
      </c>
      <c r="M49" s="534">
        <v>-99788.2</v>
      </c>
      <c r="N49" s="534">
        <f t="shared" si="21"/>
        <v>573946.4</v>
      </c>
      <c r="O49" s="534">
        <f t="shared" si="22"/>
        <v>741248.3</v>
      </c>
      <c r="P49" s="544" t="s">
        <v>1207</v>
      </c>
    </row>
    <row r="50" spans="1:18" ht="9.9499999999999993" customHeight="1">
      <c r="A50" s="10" t="s">
        <v>1215</v>
      </c>
      <c r="B50" s="41">
        <v>156818.1</v>
      </c>
      <c r="C50" s="41">
        <v>10839.8</v>
      </c>
      <c r="D50" s="41">
        <f t="shared" si="19"/>
        <v>167657.9</v>
      </c>
      <c r="E50" s="1144">
        <v>-6795</v>
      </c>
      <c r="F50" s="41">
        <v>118009.2</v>
      </c>
      <c r="G50" s="41">
        <f t="shared" si="20"/>
        <v>111214.2</v>
      </c>
      <c r="H50" s="41">
        <v>2072.1</v>
      </c>
      <c r="I50" s="41">
        <v>15822.7</v>
      </c>
      <c r="J50" s="41">
        <f t="shared" si="15"/>
        <v>17894.8</v>
      </c>
      <c r="K50" s="41">
        <v>541881.9</v>
      </c>
      <c r="L50" s="41">
        <f t="shared" si="12"/>
        <v>670990.9</v>
      </c>
      <c r="M50" s="1144">
        <v>-100122.3</v>
      </c>
      <c r="N50" s="41">
        <f t="shared" ref="N50:N55" si="23">L50+M50</f>
        <v>570868.6</v>
      </c>
      <c r="O50" s="41">
        <f t="shared" ref="O50:O55" si="24">D50+N50</f>
        <v>738526.5</v>
      </c>
      <c r="P50" s="188" t="s">
        <v>1215</v>
      </c>
    </row>
    <row r="51" spans="1:18" ht="9.9499999999999993" customHeight="1">
      <c r="A51" s="543" t="s">
        <v>1216</v>
      </c>
      <c r="B51" s="534">
        <v>160880.70000000001</v>
      </c>
      <c r="C51" s="534">
        <v>10712.9</v>
      </c>
      <c r="D51" s="534">
        <f t="shared" si="19"/>
        <v>171593.60000000001</v>
      </c>
      <c r="E51" s="528">
        <v>-6521</v>
      </c>
      <c r="F51" s="534">
        <v>117222.5</v>
      </c>
      <c r="G51" s="534">
        <f t="shared" si="20"/>
        <v>110701.5</v>
      </c>
      <c r="H51" s="534">
        <v>2070.6999999999998</v>
      </c>
      <c r="I51" s="534">
        <v>15269.6</v>
      </c>
      <c r="J51" s="534">
        <f t="shared" si="15"/>
        <v>17340.3</v>
      </c>
      <c r="K51" s="534">
        <v>545534.5</v>
      </c>
      <c r="L51" s="534">
        <f t="shared" si="12"/>
        <v>673576.3</v>
      </c>
      <c r="M51" s="534">
        <v>-98083.4</v>
      </c>
      <c r="N51" s="534">
        <f t="shared" si="23"/>
        <v>575492.9</v>
      </c>
      <c r="O51" s="534">
        <f t="shared" si="24"/>
        <v>747086.5</v>
      </c>
      <c r="P51" s="544" t="s">
        <v>1216</v>
      </c>
    </row>
    <row r="52" spans="1:18" s="159" customFormat="1" ht="9.9499999999999993" customHeight="1">
      <c r="A52" s="480" t="s">
        <v>1208</v>
      </c>
      <c r="B52" s="482">
        <v>164925.4</v>
      </c>
      <c r="C52" s="482">
        <v>12568.7</v>
      </c>
      <c r="D52" s="482">
        <f t="shared" si="19"/>
        <v>177494.1</v>
      </c>
      <c r="E52" s="482">
        <v>-12831.1</v>
      </c>
      <c r="F52" s="482">
        <v>118479.9</v>
      </c>
      <c r="G52" s="482">
        <f t="shared" si="20"/>
        <v>105648.79999999999</v>
      </c>
      <c r="H52" s="482">
        <v>2073.1999999999998</v>
      </c>
      <c r="I52" s="433">
        <v>15845.1</v>
      </c>
      <c r="J52" s="482">
        <f t="shared" si="15"/>
        <v>17918.3</v>
      </c>
      <c r="K52" s="482">
        <v>552668.1</v>
      </c>
      <c r="L52" s="482">
        <f t="shared" si="12"/>
        <v>676235.2</v>
      </c>
      <c r="M52" s="482">
        <v>-102342.8</v>
      </c>
      <c r="N52" s="482">
        <f t="shared" si="23"/>
        <v>573892.39999999991</v>
      </c>
      <c r="O52" s="482">
        <f t="shared" si="24"/>
        <v>751386.49999999988</v>
      </c>
      <c r="P52" s="736" t="s">
        <v>1208</v>
      </c>
    </row>
    <row r="53" spans="1:18" s="159" customFormat="1" ht="9.9499999999999993" customHeight="1">
      <c r="A53" s="605" t="s">
        <v>1217</v>
      </c>
      <c r="B53" s="530">
        <v>169107.7</v>
      </c>
      <c r="C53" s="530">
        <v>12137.2</v>
      </c>
      <c r="D53" s="530">
        <f t="shared" si="19"/>
        <v>181244.90000000002</v>
      </c>
      <c r="E53" s="530">
        <v>-14328.6</v>
      </c>
      <c r="F53" s="530">
        <v>118609.7</v>
      </c>
      <c r="G53" s="530">
        <f t="shared" si="20"/>
        <v>104281.09999999999</v>
      </c>
      <c r="H53" s="530">
        <v>2069.8000000000002</v>
      </c>
      <c r="I53" s="521">
        <v>15042.1</v>
      </c>
      <c r="J53" s="530">
        <f t="shared" si="15"/>
        <v>17111.900000000001</v>
      </c>
      <c r="K53" s="530">
        <v>557775.9</v>
      </c>
      <c r="L53" s="521">
        <f t="shared" si="12"/>
        <v>679168.9</v>
      </c>
      <c r="M53" s="530">
        <v>-105221.4</v>
      </c>
      <c r="N53" s="530">
        <f t="shared" si="23"/>
        <v>573947.5</v>
      </c>
      <c r="O53" s="530">
        <f t="shared" si="24"/>
        <v>755192.4</v>
      </c>
      <c r="P53" s="682" t="s">
        <v>1217</v>
      </c>
    </row>
    <row r="54" spans="1:18" s="159" customFormat="1" ht="9.9499999999999993" customHeight="1">
      <c r="A54" s="480" t="s">
        <v>1218</v>
      </c>
      <c r="B54" s="482">
        <v>171467.4</v>
      </c>
      <c r="C54" s="482">
        <v>12164.3</v>
      </c>
      <c r="D54" s="482">
        <f t="shared" si="19"/>
        <v>183631.69999999998</v>
      </c>
      <c r="E54" s="433">
        <v>-6825</v>
      </c>
      <c r="F54" s="433">
        <v>112828</v>
      </c>
      <c r="G54" s="433">
        <f t="shared" si="20"/>
        <v>106003</v>
      </c>
      <c r="H54" s="482">
        <v>2164.8000000000002</v>
      </c>
      <c r="I54" s="433">
        <v>14406.8</v>
      </c>
      <c r="J54" s="482">
        <f t="shared" si="15"/>
        <v>16571.599999999999</v>
      </c>
      <c r="K54" s="482">
        <v>561863.4</v>
      </c>
      <c r="L54" s="433">
        <f t="shared" si="12"/>
        <v>684438</v>
      </c>
      <c r="M54" s="482">
        <v>-99719.9</v>
      </c>
      <c r="N54" s="482">
        <f t="shared" si="23"/>
        <v>584718.1</v>
      </c>
      <c r="O54" s="482">
        <f t="shared" si="24"/>
        <v>768349.79999999993</v>
      </c>
      <c r="P54" s="736" t="s">
        <v>1218</v>
      </c>
    </row>
    <row r="55" spans="1:18" s="159" customFormat="1" ht="9.9499999999999993" customHeight="1">
      <c r="A55" s="605" t="s">
        <v>1209</v>
      </c>
      <c r="B55" s="530">
        <v>177401.3</v>
      </c>
      <c r="C55" s="530">
        <v>11827.5</v>
      </c>
      <c r="D55" s="530">
        <f t="shared" si="19"/>
        <v>189228.79999999999</v>
      </c>
      <c r="E55" s="521">
        <v>810.5</v>
      </c>
      <c r="F55" s="521">
        <v>109446.8</v>
      </c>
      <c r="G55" s="521">
        <f t="shared" si="20"/>
        <v>110257.3</v>
      </c>
      <c r="H55" s="530">
        <v>2160.8000000000002</v>
      </c>
      <c r="I55" s="521">
        <v>14509</v>
      </c>
      <c r="J55" s="530">
        <f t="shared" si="15"/>
        <v>16669.8</v>
      </c>
      <c r="K55" s="530">
        <v>574599.4</v>
      </c>
      <c r="L55" s="521">
        <f t="shared" si="12"/>
        <v>701526.5</v>
      </c>
      <c r="M55" s="530">
        <v>-103141.2</v>
      </c>
      <c r="N55" s="530">
        <f t="shared" si="23"/>
        <v>598385.30000000005</v>
      </c>
      <c r="O55" s="530">
        <f t="shared" si="24"/>
        <v>787614.10000000009</v>
      </c>
      <c r="P55" s="682" t="s">
        <v>1209</v>
      </c>
    </row>
    <row r="56" spans="1:18" s="159" customFormat="1" ht="9.9499999999999993" customHeight="1">
      <c r="A56" s="695" t="s">
        <v>2608</v>
      </c>
      <c r="B56" s="657">
        <f>B68</f>
        <v>218904.1</v>
      </c>
      <c r="C56" s="657">
        <f t="shared" ref="C56:O56" si="25">C68</f>
        <v>14231.5</v>
      </c>
      <c r="D56" s="657">
        <f t="shared" si="25"/>
        <v>233135.6</v>
      </c>
      <c r="E56" s="657">
        <f t="shared" si="25"/>
        <v>13373.7</v>
      </c>
      <c r="F56" s="657">
        <f t="shared" si="25"/>
        <v>100845.9</v>
      </c>
      <c r="G56" s="657">
        <f t="shared" si="25"/>
        <v>114219.59999999999</v>
      </c>
      <c r="H56" s="657">
        <f t="shared" si="25"/>
        <v>2015.5</v>
      </c>
      <c r="I56" s="657">
        <f t="shared" si="25"/>
        <v>14035.6</v>
      </c>
      <c r="J56" s="657">
        <f t="shared" si="25"/>
        <v>16051.1</v>
      </c>
      <c r="K56" s="657">
        <f t="shared" si="25"/>
        <v>671009.30000000005</v>
      </c>
      <c r="L56" s="657">
        <f t="shared" si="25"/>
        <v>801280</v>
      </c>
      <c r="M56" s="657">
        <f t="shared" si="25"/>
        <v>-118037.8</v>
      </c>
      <c r="N56" s="657">
        <f t="shared" si="25"/>
        <v>683242.2</v>
      </c>
      <c r="O56" s="657">
        <f t="shared" si="25"/>
        <v>916377.79999999993</v>
      </c>
      <c r="P56" s="697" t="s">
        <v>2608</v>
      </c>
    </row>
    <row r="57" spans="1:18" s="159" customFormat="1" ht="9.75" customHeight="1">
      <c r="A57" s="605" t="s">
        <v>1211</v>
      </c>
      <c r="B57" s="530">
        <v>184570.8</v>
      </c>
      <c r="C57" s="530">
        <v>12249.4</v>
      </c>
      <c r="D57" s="530">
        <f t="shared" ref="D57:D63" si="26">B57+C57</f>
        <v>196820.19999999998</v>
      </c>
      <c r="E57" s="521">
        <v>3032.3</v>
      </c>
      <c r="F57" s="521">
        <v>118693.6</v>
      </c>
      <c r="G57" s="521">
        <f t="shared" ref="G57:G63" si="27">E57+F57</f>
        <v>121725.90000000001</v>
      </c>
      <c r="H57" s="530">
        <v>2238.6999999999998</v>
      </c>
      <c r="I57" s="521">
        <v>13301.2</v>
      </c>
      <c r="J57" s="521">
        <f t="shared" ref="J57:J63" si="28">H57+I57</f>
        <v>15539.900000000001</v>
      </c>
      <c r="K57" s="530">
        <v>573668.69999999995</v>
      </c>
      <c r="L57" s="521">
        <f t="shared" ref="L57:L63" si="29">G57+J57+K57</f>
        <v>710934.5</v>
      </c>
      <c r="M57" s="530">
        <v>-103073.1</v>
      </c>
      <c r="N57" s="521">
        <f t="shared" ref="N57:N63" si="30">L57+M57</f>
        <v>607861.4</v>
      </c>
      <c r="O57" s="521">
        <f t="shared" ref="O57:O63" si="31">D57+N57</f>
        <v>804681.6</v>
      </c>
      <c r="P57" s="682" t="s">
        <v>1211</v>
      </c>
      <c r="R57" s="1533"/>
    </row>
    <row r="58" spans="1:18" s="159" customFormat="1" ht="9" customHeight="1">
      <c r="A58" s="480" t="s">
        <v>1212</v>
      </c>
      <c r="B58" s="482">
        <v>186355.4</v>
      </c>
      <c r="C58" s="482">
        <v>12119.6</v>
      </c>
      <c r="D58" s="433">
        <f t="shared" si="26"/>
        <v>198475</v>
      </c>
      <c r="E58" s="433">
        <v>-6762.2</v>
      </c>
      <c r="F58" s="433">
        <v>122449.4</v>
      </c>
      <c r="G58" s="433">
        <f t="shared" si="27"/>
        <v>115687.2</v>
      </c>
      <c r="H58" s="482">
        <v>2174.6</v>
      </c>
      <c r="I58" s="433">
        <v>13513.1</v>
      </c>
      <c r="J58" s="433">
        <f t="shared" si="28"/>
        <v>15687.7</v>
      </c>
      <c r="K58" s="482">
        <v>578176.9</v>
      </c>
      <c r="L58" s="433">
        <f t="shared" si="29"/>
        <v>709551.8</v>
      </c>
      <c r="M58" s="482">
        <v>-102648.8</v>
      </c>
      <c r="N58" s="433">
        <f t="shared" si="30"/>
        <v>606903</v>
      </c>
      <c r="O58" s="433">
        <f t="shared" si="31"/>
        <v>805378</v>
      </c>
      <c r="P58" s="736" t="s">
        <v>1212</v>
      </c>
      <c r="R58" s="1533"/>
    </row>
    <row r="59" spans="1:18" s="159" customFormat="1" ht="9.75" customHeight="1">
      <c r="A59" s="605" t="s">
        <v>1206</v>
      </c>
      <c r="B59" s="530">
        <v>191613.9</v>
      </c>
      <c r="C59" s="521">
        <v>12162</v>
      </c>
      <c r="D59" s="521">
        <f t="shared" si="26"/>
        <v>203775.9</v>
      </c>
      <c r="E59" s="521">
        <v>-4916.6000000000004</v>
      </c>
      <c r="F59" s="521">
        <v>123089.3</v>
      </c>
      <c r="G59" s="521">
        <f t="shared" si="27"/>
        <v>118172.7</v>
      </c>
      <c r="H59" s="530">
        <v>2127.8000000000002</v>
      </c>
      <c r="I59" s="521">
        <v>13656.1</v>
      </c>
      <c r="J59" s="521">
        <f t="shared" si="28"/>
        <v>15783.900000000001</v>
      </c>
      <c r="K59" s="530">
        <v>589685.6</v>
      </c>
      <c r="L59" s="521">
        <f t="shared" si="29"/>
        <v>723642.2</v>
      </c>
      <c r="M59" s="521">
        <v>-105945</v>
      </c>
      <c r="N59" s="521">
        <f t="shared" si="30"/>
        <v>617697.19999999995</v>
      </c>
      <c r="O59" s="521">
        <f t="shared" si="31"/>
        <v>821473.1</v>
      </c>
      <c r="P59" s="682" t="s">
        <v>1206</v>
      </c>
      <c r="R59" s="1533"/>
    </row>
    <row r="60" spans="1:18" s="159" customFormat="1" ht="9.75" customHeight="1">
      <c r="A60" s="480" t="s">
        <v>1213</v>
      </c>
      <c r="B60" s="482">
        <v>191643.1</v>
      </c>
      <c r="C60" s="433">
        <v>11713.6</v>
      </c>
      <c r="D60" s="433">
        <f t="shared" si="26"/>
        <v>203356.7</v>
      </c>
      <c r="E60" s="433">
        <v>-5215.6000000000004</v>
      </c>
      <c r="F60" s="433">
        <v>117845</v>
      </c>
      <c r="G60" s="433">
        <f t="shared" si="27"/>
        <v>112629.4</v>
      </c>
      <c r="H60" s="482">
        <v>2123.8000000000002</v>
      </c>
      <c r="I60" s="433">
        <v>14022.6</v>
      </c>
      <c r="J60" s="433">
        <f t="shared" si="28"/>
        <v>16146.400000000001</v>
      </c>
      <c r="K60" s="482">
        <v>594677.4</v>
      </c>
      <c r="L60" s="433">
        <f t="shared" si="29"/>
        <v>723453.2</v>
      </c>
      <c r="M60" s="433">
        <v>-106552.8</v>
      </c>
      <c r="N60" s="433">
        <f t="shared" si="30"/>
        <v>616900.39999999991</v>
      </c>
      <c r="O60" s="433">
        <f t="shared" si="31"/>
        <v>820257.09999999986</v>
      </c>
      <c r="P60" s="736" t="s">
        <v>1213</v>
      </c>
      <c r="R60" s="1533"/>
    </row>
    <row r="61" spans="1:18" s="159" customFormat="1" ht="9.75" customHeight="1">
      <c r="A61" s="605" t="s">
        <v>1214</v>
      </c>
      <c r="B61" s="530">
        <v>193250.9</v>
      </c>
      <c r="C61" s="521">
        <v>12502.8</v>
      </c>
      <c r="D61" s="521">
        <f t="shared" si="26"/>
        <v>205753.69999999998</v>
      </c>
      <c r="E61" s="521">
        <v>-4296.5</v>
      </c>
      <c r="F61" s="521">
        <v>114406.5</v>
      </c>
      <c r="G61" s="521">
        <f t="shared" si="27"/>
        <v>110110</v>
      </c>
      <c r="H61" s="530">
        <v>2116.1999999999998</v>
      </c>
      <c r="I61" s="521">
        <v>14127</v>
      </c>
      <c r="J61" s="521">
        <f t="shared" si="28"/>
        <v>16243.2</v>
      </c>
      <c r="K61" s="530">
        <v>603922.69999999995</v>
      </c>
      <c r="L61" s="521">
        <f t="shared" si="29"/>
        <v>730275.89999999991</v>
      </c>
      <c r="M61" s="521">
        <v>-110847.6</v>
      </c>
      <c r="N61" s="521">
        <f t="shared" si="30"/>
        <v>619428.29999999993</v>
      </c>
      <c r="O61" s="521">
        <f t="shared" si="31"/>
        <v>825181.99999999988</v>
      </c>
      <c r="P61" s="682" t="s">
        <v>1214</v>
      </c>
      <c r="R61" s="1533"/>
    </row>
    <row r="62" spans="1:18" s="159" customFormat="1" ht="9.75" customHeight="1">
      <c r="A62" s="480" t="s">
        <v>1207</v>
      </c>
      <c r="B62" s="433">
        <v>196508</v>
      </c>
      <c r="C62" s="433">
        <v>12809.4</v>
      </c>
      <c r="D62" s="433">
        <f t="shared" si="26"/>
        <v>209317.4</v>
      </c>
      <c r="E62" s="433">
        <v>-3321.5</v>
      </c>
      <c r="F62" s="433">
        <v>106810.2</v>
      </c>
      <c r="G62" s="433">
        <f t="shared" si="27"/>
        <v>103488.7</v>
      </c>
      <c r="H62" s="433">
        <v>2110</v>
      </c>
      <c r="I62" s="433">
        <v>14538.9</v>
      </c>
      <c r="J62" s="433">
        <f t="shared" si="28"/>
        <v>16648.900000000001</v>
      </c>
      <c r="K62" s="433">
        <v>620506.9</v>
      </c>
      <c r="L62" s="433">
        <f t="shared" si="29"/>
        <v>740644.5</v>
      </c>
      <c r="M62" s="433">
        <v>-111847.7</v>
      </c>
      <c r="N62" s="433">
        <f t="shared" si="30"/>
        <v>628796.80000000005</v>
      </c>
      <c r="O62" s="433">
        <f t="shared" si="31"/>
        <v>838114.20000000007</v>
      </c>
      <c r="P62" s="736" t="s">
        <v>1207</v>
      </c>
      <c r="R62" s="1533"/>
    </row>
    <row r="63" spans="1:18" s="159" customFormat="1" ht="9.75" customHeight="1">
      <c r="A63" s="605" t="s">
        <v>1215</v>
      </c>
      <c r="B63" s="521">
        <v>197995.7</v>
      </c>
      <c r="C63" s="521">
        <v>12596.9</v>
      </c>
      <c r="D63" s="521">
        <f t="shared" si="26"/>
        <v>210592.6</v>
      </c>
      <c r="E63" s="521">
        <v>-5345.9</v>
      </c>
      <c r="F63" s="521">
        <v>105436</v>
      </c>
      <c r="G63" s="521">
        <f t="shared" si="27"/>
        <v>100090.1</v>
      </c>
      <c r="H63" s="521">
        <v>2100.5</v>
      </c>
      <c r="I63" s="521">
        <v>15702.4</v>
      </c>
      <c r="J63" s="521">
        <f t="shared" si="28"/>
        <v>17802.900000000001</v>
      </c>
      <c r="K63" s="521">
        <f>617349.2+4850.6</f>
        <v>622199.79999999993</v>
      </c>
      <c r="L63" s="521">
        <f t="shared" si="29"/>
        <v>740092.79999999993</v>
      </c>
      <c r="M63" s="521">
        <v>-116184.3</v>
      </c>
      <c r="N63" s="521">
        <f t="shared" si="30"/>
        <v>623908.49999999988</v>
      </c>
      <c r="O63" s="521">
        <f t="shared" si="31"/>
        <v>834501.09999999986</v>
      </c>
      <c r="P63" s="682" t="s">
        <v>1215</v>
      </c>
      <c r="R63" s="1533"/>
    </row>
    <row r="64" spans="1:18" s="159" customFormat="1" ht="9.75" customHeight="1">
      <c r="A64" s="480" t="s">
        <v>1216</v>
      </c>
      <c r="B64" s="433">
        <v>203032.4</v>
      </c>
      <c r="C64" s="433">
        <v>11638.2</v>
      </c>
      <c r="D64" s="433">
        <f>B64+C64</f>
        <v>214670.6</v>
      </c>
      <c r="E64" s="433">
        <v>1100.9000000000001</v>
      </c>
      <c r="F64" s="433">
        <v>101591.3</v>
      </c>
      <c r="G64" s="433">
        <f>E64+F64</f>
        <v>102692.2</v>
      </c>
      <c r="H64" s="433">
        <v>2081.4</v>
      </c>
      <c r="I64" s="433">
        <v>14938.5</v>
      </c>
      <c r="J64" s="433">
        <f>H64+I64</f>
        <v>17019.900000000001</v>
      </c>
      <c r="K64" s="433">
        <v>627960.5</v>
      </c>
      <c r="L64" s="433">
        <f>G64+J64+K64</f>
        <v>747672.6</v>
      </c>
      <c r="M64" s="433">
        <v>-117307.2</v>
      </c>
      <c r="N64" s="433">
        <f>L64+M64</f>
        <v>630365.4</v>
      </c>
      <c r="O64" s="433">
        <f>D64+N64</f>
        <v>845036</v>
      </c>
      <c r="P64" s="736" t="s">
        <v>1216</v>
      </c>
      <c r="R64" s="1533"/>
    </row>
    <row r="65" spans="1:18" s="159" customFormat="1" ht="9" customHeight="1">
      <c r="A65" s="605" t="s">
        <v>1208</v>
      </c>
      <c r="B65" s="521">
        <v>207417.5</v>
      </c>
      <c r="C65" s="521">
        <v>12910</v>
      </c>
      <c r="D65" s="521">
        <f>B65+C65</f>
        <v>220327.5</v>
      </c>
      <c r="E65" s="521">
        <v>4723.6000000000004</v>
      </c>
      <c r="F65" s="521">
        <v>95054.5</v>
      </c>
      <c r="G65" s="521">
        <f>E65+F65</f>
        <v>99778.1</v>
      </c>
      <c r="H65" s="521">
        <v>2031.3</v>
      </c>
      <c r="I65" s="521">
        <v>15239.1</v>
      </c>
      <c r="J65" s="521">
        <f>H65+I65</f>
        <v>17270.400000000001</v>
      </c>
      <c r="K65" s="521">
        <f>631628.5+4813.9</f>
        <v>636442.4</v>
      </c>
      <c r="L65" s="521">
        <f>G65+J65+K65</f>
        <v>753490.9</v>
      </c>
      <c r="M65" s="521">
        <v>-120633.60000000001</v>
      </c>
      <c r="N65" s="521">
        <f>L65+M65</f>
        <v>632857.30000000005</v>
      </c>
      <c r="O65" s="521">
        <f>D65+N65</f>
        <v>853184.8</v>
      </c>
      <c r="P65" s="682" t="s">
        <v>1208</v>
      </c>
      <c r="R65" s="1533"/>
    </row>
    <row r="66" spans="1:18" s="159" customFormat="1" ht="9" customHeight="1">
      <c r="A66" s="480" t="s">
        <v>1217</v>
      </c>
      <c r="B66" s="433">
        <v>210707.20000000001</v>
      </c>
      <c r="C66" s="433">
        <v>11980.9</v>
      </c>
      <c r="D66" s="433">
        <f>B66+C66</f>
        <v>222688.1</v>
      </c>
      <c r="E66" s="433">
        <v>831</v>
      </c>
      <c r="F66" s="433">
        <v>96711.5</v>
      </c>
      <c r="G66" s="433">
        <f>E66+F66</f>
        <v>97542.5</v>
      </c>
      <c r="H66" s="433">
        <v>2035.6</v>
      </c>
      <c r="I66" s="433">
        <v>15104.2</v>
      </c>
      <c r="J66" s="433">
        <f>H66+I66</f>
        <v>17139.8</v>
      </c>
      <c r="K66" s="433">
        <f>639886.5+4847.3</f>
        <v>644733.80000000005</v>
      </c>
      <c r="L66" s="433">
        <f>G66+J66+K66</f>
        <v>759416.10000000009</v>
      </c>
      <c r="M66" s="433">
        <v>-120689.7</v>
      </c>
      <c r="N66" s="433">
        <f>L66+M66</f>
        <v>638726.40000000014</v>
      </c>
      <c r="O66" s="433">
        <f>D66+N66</f>
        <v>861414.50000000012</v>
      </c>
      <c r="P66" s="736" t="s">
        <v>1217</v>
      </c>
      <c r="R66" s="1533"/>
    </row>
    <row r="67" spans="1:18" s="159" customFormat="1" ht="9" customHeight="1">
      <c r="A67" s="605" t="s">
        <v>1218</v>
      </c>
      <c r="B67" s="521">
        <v>211693.2</v>
      </c>
      <c r="C67" s="521">
        <v>12034.1</v>
      </c>
      <c r="D67" s="521">
        <f>B67+C67</f>
        <v>223727.30000000002</v>
      </c>
      <c r="E67" s="521">
        <v>2794.7</v>
      </c>
      <c r="F67" s="521">
        <v>99314.7</v>
      </c>
      <c r="G67" s="521">
        <f>E67+F67</f>
        <v>102109.4</v>
      </c>
      <c r="H67" s="521">
        <v>2015.1</v>
      </c>
      <c r="I67" s="521">
        <v>15068.3</v>
      </c>
      <c r="J67" s="521">
        <f>H67+I67</f>
        <v>17083.399999999998</v>
      </c>
      <c r="K67" s="521">
        <f>649156.9+4860.3</f>
        <v>654017.20000000007</v>
      </c>
      <c r="L67" s="521">
        <f>G67+J67+K67</f>
        <v>773210</v>
      </c>
      <c r="M67" s="521">
        <v>-120843.6</v>
      </c>
      <c r="N67" s="521">
        <f>L67+M67</f>
        <v>652366.4</v>
      </c>
      <c r="O67" s="521">
        <f>D67+N67</f>
        <v>876093.70000000007</v>
      </c>
      <c r="P67" s="682" t="s">
        <v>1218</v>
      </c>
      <c r="R67" s="1533"/>
    </row>
    <row r="68" spans="1:18" s="159" customFormat="1" ht="11.25" customHeight="1">
      <c r="A68" s="737" t="s">
        <v>1209</v>
      </c>
      <c r="B68" s="903">
        <v>218904.1</v>
      </c>
      <c r="C68" s="433">
        <v>14231.5</v>
      </c>
      <c r="D68" s="433">
        <f>B68+C68</f>
        <v>233135.6</v>
      </c>
      <c r="E68" s="433">
        <v>13373.7</v>
      </c>
      <c r="F68" s="433">
        <v>100845.9</v>
      </c>
      <c r="G68" s="433">
        <f>E68+F68</f>
        <v>114219.59999999999</v>
      </c>
      <c r="H68" s="433">
        <v>2015.5</v>
      </c>
      <c r="I68" s="433">
        <v>14035.6</v>
      </c>
      <c r="J68" s="433">
        <f>H68+I68</f>
        <v>16051.1</v>
      </c>
      <c r="K68" s="433">
        <f>4966.9+666042.4</f>
        <v>671009.30000000005</v>
      </c>
      <c r="L68" s="433">
        <f>G68+J68+K68</f>
        <v>801280</v>
      </c>
      <c r="M68" s="433">
        <v>-118037.8</v>
      </c>
      <c r="N68" s="433">
        <f>L68+M68</f>
        <v>683242.2</v>
      </c>
      <c r="O68" s="433">
        <f>D68+N68</f>
        <v>916377.79999999993</v>
      </c>
      <c r="P68" s="740" t="s">
        <v>1209</v>
      </c>
      <c r="R68" s="1533"/>
    </row>
    <row r="69" spans="1:18" s="159" customFormat="1" ht="11.25" customHeight="1">
      <c r="A69" s="693" t="s">
        <v>2809</v>
      </c>
      <c r="B69" s="1459"/>
      <c r="C69" s="521"/>
      <c r="D69" s="521"/>
      <c r="E69" s="521"/>
      <c r="F69" s="521"/>
      <c r="G69" s="521"/>
      <c r="H69" s="521"/>
      <c r="I69" s="521"/>
      <c r="J69" s="521"/>
      <c r="K69" s="521"/>
      <c r="L69" s="521"/>
      <c r="M69" s="521"/>
      <c r="N69" s="521"/>
      <c r="O69" s="521"/>
      <c r="P69" s="694" t="s">
        <v>2809</v>
      </c>
    </row>
    <row r="70" spans="1:18" s="159" customFormat="1" ht="12" customHeight="1">
      <c r="A70" s="11" t="s">
        <v>1211</v>
      </c>
      <c r="B70" s="903">
        <v>222971.6</v>
      </c>
      <c r="C70" s="433">
        <v>12913.8</v>
      </c>
      <c r="D70" s="433">
        <f t="shared" ref="D70:D75" si="32">B70+C70</f>
        <v>235885.4</v>
      </c>
      <c r="E70" s="433">
        <v>-254.7</v>
      </c>
      <c r="F70" s="433">
        <v>116912.7</v>
      </c>
      <c r="G70" s="433">
        <f t="shared" ref="G70:G75" si="33">E70+F70</f>
        <v>116658</v>
      </c>
      <c r="H70" s="433">
        <v>2006.8</v>
      </c>
      <c r="I70" s="433">
        <v>13991.8</v>
      </c>
      <c r="J70" s="433">
        <f t="shared" ref="J70:J75" si="34">H70+I70</f>
        <v>15998.599999999999</v>
      </c>
      <c r="K70" s="433">
        <f>4923.1+660388.7</f>
        <v>665311.79999999993</v>
      </c>
      <c r="L70" s="433">
        <f t="shared" ref="L70:L75" si="35">G70+J70+K70</f>
        <v>797968.39999999991</v>
      </c>
      <c r="M70" s="433">
        <v>-120549.1</v>
      </c>
      <c r="N70" s="433">
        <f t="shared" ref="N70:N75" si="36">L70+M70</f>
        <v>677419.29999999993</v>
      </c>
      <c r="O70" s="433">
        <f t="shared" ref="O70:O75" si="37">D70+N70</f>
        <v>913304.7</v>
      </c>
      <c r="P70" s="53" t="s">
        <v>1211</v>
      </c>
    </row>
    <row r="71" spans="1:18" s="159" customFormat="1" ht="12" customHeight="1">
      <c r="A71" s="543" t="s">
        <v>1212</v>
      </c>
      <c r="B71" s="521">
        <v>227994.8</v>
      </c>
      <c r="C71" s="521">
        <v>13540.2</v>
      </c>
      <c r="D71" s="521">
        <f t="shared" si="32"/>
        <v>241535</v>
      </c>
      <c r="E71" s="521">
        <v>-1519.1</v>
      </c>
      <c r="F71" s="521">
        <v>114843.3</v>
      </c>
      <c r="G71" s="521">
        <f t="shared" si="33"/>
        <v>113324.2</v>
      </c>
      <c r="H71" s="521">
        <v>2009.6</v>
      </c>
      <c r="I71" s="521">
        <v>14100.1</v>
      </c>
      <c r="J71" s="521">
        <f t="shared" si="34"/>
        <v>16109.7</v>
      </c>
      <c r="K71" s="521">
        <f>4820.5+667104.1</f>
        <v>671924.6</v>
      </c>
      <c r="L71" s="521">
        <f t="shared" si="35"/>
        <v>801358.5</v>
      </c>
      <c r="M71" s="521">
        <v>-120010.4</v>
      </c>
      <c r="N71" s="521">
        <f t="shared" si="36"/>
        <v>681348.1</v>
      </c>
      <c r="O71" s="521">
        <f t="shared" si="37"/>
        <v>922883.1</v>
      </c>
      <c r="P71" s="544" t="s">
        <v>1212</v>
      </c>
    </row>
    <row r="72" spans="1:18" s="159" customFormat="1" ht="12" customHeight="1">
      <c r="A72" s="315" t="s">
        <v>1206</v>
      </c>
      <c r="B72" s="433">
        <v>233071.6</v>
      </c>
      <c r="C72" s="433">
        <v>13674.2</v>
      </c>
      <c r="D72" s="433">
        <f t="shared" si="32"/>
        <v>246745.80000000002</v>
      </c>
      <c r="E72" s="433">
        <v>1004.4</v>
      </c>
      <c r="F72" s="433">
        <v>112659.1</v>
      </c>
      <c r="G72" s="433">
        <f t="shared" si="33"/>
        <v>113663.5</v>
      </c>
      <c r="H72" s="433">
        <v>1986.2</v>
      </c>
      <c r="I72" s="433">
        <v>13926.1</v>
      </c>
      <c r="J72" s="433">
        <f t="shared" si="34"/>
        <v>15912.300000000001</v>
      </c>
      <c r="K72" s="433">
        <f>4830.8+675306.2</f>
        <v>680137</v>
      </c>
      <c r="L72" s="433">
        <f t="shared" si="35"/>
        <v>809712.8</v>
      </c>
      <c r="M72" s="433">
        <v>-124935.4</v>
      </c>
      <c r="N72" s="433">
        <f t="shared" si="36"/>
        <v>684777.4</v>
      </c>
      <c r="O72" s="433">
        <f t="shared" si="37"/>
        <v>931523.20000000007</v>
      </c>
      <c r="P72" s="385" t="s">
        <v>1206</v>
      </c>
    </row>
    <row r="73" spans="1:18" s="159" customFormat="1" ht="12" customHeight="1">
      <c r="A73" s="543" t="s">
        <v>1213</v>
      </c>
      <c r="B73" s="521">
        <v>234188.5</v>
      </c>
      <c r="C73" s="521">
        <v>13125.2</v>
      </c>
      <c r="D73" s="521">
        <f t="shared" si="32"/>
        <v>247313.7</v>
      </c>
      <c r="E73" s="521">
        <v>1350.8</v>
      </c>
      <c r="F73" s="521">
        <v>108661.6</v>
      </c>
      <c r="G73" s="521">
        <f t="shared" si="33"/>
        <v>110012.40000000001</v>
      </c>
      <c r="H73" s="521">
        <v>1988.9</v>
      </c>
      <c r="I73" s="521">
        <v>13428.6</v>
      </c>
      <c r="J73" s="521">
        <f t="shared" si="34"/>
        <v>15417.5</v>
      </c>
      <c r="K73" s="521">
        <f>4860.5+680220.3</f>
        <v>685080.8</v>
      </c>
      <c r="L73" s="521">
        <f t="shared" si="35"/>
        <v>810510.70000000007</v>
      </c>
      <c r="M73" s="521">
        <v>-124597.8</v>
      </c>
      <c r="N73" s="521">
        <f t="shared" si="36"/>
        <v>685912.9</v>
      </c>
      <c r="O73" s="521">
        <f t="shared" si="37"/>
        <v>933226.60000000009</v>
      </c>
      <c r="P73" s="544" t="s">
        <v>1213</v>
      </c>
    </row>
    <row r="74" spans="1:18" s="159" customFormat="1" ht="12" customHeight="1">
      <c r="A74" s="315" t="s">
        <v>1214</v>
      </c>
      <c r="B74" s="433">
        <v>233489.3</v>
      </c>
      <c r="C74" s="433">
        <v>11566.6</v>
      </c>
      <c r="D74" s="433">
        <f t="shared" si="32"/>
        <v>245055.9</v>
      </c>
      <c r="E74" s="433">
        <v>3205.6</v>
      </c>
      <c r="F74" s="433">
        <v>105438.9</v>
      </c>
      <c r="G74" s="433">
        <f t="shared" si="33"/>
        <v>108644.5</v>
      </c>
      <c r="H74" s="433">
        <v>1994</v>
      </c>
      <c r="I74" s="433">
        <v>13751.5</v>
      </c>
      <c r="J74" s="433">
        <f t="shared" si="34"/>
        <v>15745.5</v>
      </c>
      <c r="K74" s="41">
        <f>4877.1+689681</f>
        <v>694558.1</v>
      </c>
      <c r="L74" s="433">
        <f t="shared" si="35"/>
        <v>818948.1</v>
      </c>
      <c r="M74" s="433">
        <v>-125282.6</v>
      </c>
      <c r="N74" s="433">
        <f t="shared" si="36"/>
        <v>693665.5</v>
      </c>
      <c r="O74" s="433">
        <f t="shared" si="37"/>
        <v>938721.4</v>
      </c>
      <c r="P74" s="385" t="s">
        <v>1214</v>
      </c>
    </row>
    <row r="75" spans="1:18" s="159" customFormat="1" ht="12" customHeight="1" thickBot="1">
      <c r="A75" s="644" t="s">
        <v>1207</v>
      </c>
      <c r="B75" s="1569">
        <v>235538.8</v>
      </c>
      <c r="C75" s="1569">
        <v>11709.5</v>
      </c>
      <c r="D75" s="1569">
        <f t="shared" si="32"/>
        <v>247248.3</v>
      </c>
      <c r="E75" s="1569">
        <v>4872.5</v>
      </c>
      <c r="F75" s="1569">
        <v>93766.3</v>
      </c>
      <c r="G75" s="1569">
        <f t="shared" si="33"/>
        <v>98638.8</v>
      </c>
      <c r="H75" s="1569">
        <v>1926.2</v>
      </c>
      <c r="I75" s="1569">
        <v>14453.5</v>
      </c>
      <c r="J75" s="1569">
        <f t="shared" si="34"/>
        <v>16379.7</v>
      </c>
      <c r="K75" s="1569">
        <f>4921.2+712098.3</f>
        <v>717019.5</v>
      </c>
      <c r="L75" s="1569">
        <f t="shared" si="35"/>
        <v>832038</v>
      </c>
      <c r="M75" s="1569">
        <v>-125232.5</v>
      </c>
      <c r="N75" s="1569">
        <f t="shared" si="36"/>
        <v>706805.5</v>
      </c>
      <c r="O75" s="1569">
        <f t="shared" si="37"/>
        <v>954053.8</v>
      </c>
      <c r="P75" s="1039" t="s">
        <v>1207</v>
      </c>
    </row>
    <row r="76" spans="1:18" s="55" customFormat="1" ht="14.25" customHeight="1">
      <c r="A76" s="73" t="s">
        <v>496</v>
      </c>
      <c r="B76" s="1789" t="s">
        <v>1390</v>
      </c>
      <c r="C76" s="1789"/>
      <c r="D76" s="1789"/>
      <c r="E76" s="1789"/>
      <c r="F76" s="1789"/>
      <c r="G76" s="1789"/>
      <c r="H76" s="1789"/>
      <c r="I76" s="1112" t="s">
        <v>498</v>
      </c>
      <c r="J76" s="1798" t="s">
        <v>2316</v>
      </c>
      <c r="K76" s="1798"/>
      <c r="L76" s="1798"/>
      <c r="M76" s="1798"/>
      <c r="N76" s="1798"/>
      <c r="O76" s="1798"/>
      <c r="P76" s="1798"/>
    </row>
    <row r="77" spans="1:18" s="55" customFormat="1" ht="9" customHeight="1">
      <c r="B77" s="1792" t="s">
        <v>1391</v>
      </c>
      <c r="C77" s="1792"/>
      <c r="D77" s="1792"/>
      <c r="E77" s="1792"/>
      <c r="F77" s="1792"/>
      <c r="G77" s="1792"/>
      <c r="H77" s="1792"/>
      <c r="I77" s="10"/>
      <c r="J77" s="1789" t="s">
        <v>2874</v>
      </c>
      <c r="K77" s="1789"/>
      <c r="L77" s="1789"/>
      <c r="M77" s="1789"/>
      <c r="N77" s="1789"/>
      <c r="O77" s="1789"/>
      <c r="P77" s="1789"/>
    </row>
    <row r="78" spans="1:18" ht="9" customHeight="1">
      <c r="B78" s="1789" t="s">
        <v>2854</v>
      </c>
      <c r="C78" s="1789"/>
      <c r="D78" s="1789"/>
      <c r="E78" s="1789"/>
      <c r="F78" s="1789"/>
      <c r="G78" s="1789"/>
      <c r="H78" s="23"/>
      <c r="I78" s="73" t="s">
        <v>497</v>
      </c>
      <c r="J78" s="1793" t="s">
        <v>495</v>
      </c>
      <c r="K78" s="1793"/>
      <c r="L78" s="1793"/>
      <c r="M78" s="1793"/>
      <c r="N78" s="1793"/>
    </row>
    <row r="79" spans="1:18">
      <c r="P79" s="56"/>
      <c r="R79" s="56"/>
    </row>
    <row r="80" spans="1:18">
      <c r="G80" s="135"/>
      <c r="H80" s="135"/>
      <c r="I80" s="135"/>
      <c r="L80" s="56"/>
      <c r="M80" s="135"/>
      <c r="N80" s="56"/>
      <c r="O80" s="135"/>
      <c r="P80" s="56"/>
    </row>
    <row r="81" spans="4:17">
      <c r="G81" s="135"/>
      <c r="H81" s="135"/>
      <c r="I81" s="135"/>
      <c r="J81" s="56"/>
      <c r="K81" s="135"/>
      <c r="L81" s="56"/>
      <c r="M81" s="135"/>
      <c r="N81" s="56"/>
      <c r="O81" s="135"/>
      <c r="P81" s="898"/>
      <c r="Q81" s="317"/>
    </row>
    <row r="82" spans="4:17">
      <c r="J82" s="56"/>
      <c r="K82" s="135"/>
      <c r="L82" s="56"/>
      <c r="M82" s="135"/>
      <c r="N82" s="135"/>
      <c r="O82" s="333"/>
      <c r="P82" s="898"/>
      <c r="Q82" s="898"/>
    </row>
    <row r="83" spans="4:17">
      <c r="G83" s="135"/>
      <c r="H83" s="135"/>
      <c r="K83" s="56"/>
      <c r="L83" s="135"/>
      <c r="M83" s="135"/>
      <c r="O83" s="333"/>
      <c r="P83" s="898"/>
      <c r="Q83" s="317"/>
    </row>
    <row r="84" spans="4:17">
      <c r="D84" s="56"/>
      <c r="E84" s="135"/>
      <c r="H84" s="56"/>
      <c r="I84" s="135"/>
      <c r="J84" s="56"/>
      <c r="K84" s="56"/>
      <c r="L84" s="135"/>
      <c r="M84" s="135"/>
      <c r="O84" s="898"/>
      <c r="P84" s="898"/>
      <c r="Q84" s="317"/>
    </row>
    <row r="85" spans="4:17">
      <c r="D85" s="56"/>
      <c r="E85" s="135"/>
      <c r="J85" s="56"/>
      <c r="K85" s="135"/>
      <c r="O85" s="333"/>
      <c r="P85" s="317"/>
      <c r="Q85" s="317"/>
    </row>
    <row r="86" spans="4:17">
      <c r="D86" s="135"/>
      <c r="K86" s="56"/>
      <c r="L86" s="135"/>
      <c r="M86" s="135"/>
    </row>
    <row r="87" spans="4:17">
      <c r="J87" s="56"/>
      <c r="K87" s="135"/>
      <c r="L87" s="56"/>
      <c r="M87" s="135"/>
    </row>
    <row r="88" spans="4:17">
      <c r="J88" s="56"/>
    </row>
    <row r="90" spans="4:17">
      <c r="L90" s="56"/>
      <c r="M90" s="135"/>
    </row>
  </sheetData>
  <mergeCells count="33">
    <mergeCell ref="O1:P1"/>
    <mergeCell ref="O2:P2"/>
    <mergeCell ref="O3:O7"/>
    <mergeCell ref="G1:H1"/>
    <mergeCell ref="M3:M7"/>
    <mergeCell ref="I1:J1"/>
    <mergeCell ref="N3:N7"/>
    <mergeCell ref="A1:C1"/>
    <mergeCell ref="E4:J4"/>
    <mergeCell ref="G6:G7"/>
    <mergeCell ref="A3:A9"/>
    <mergeCell ref="B3:D3"/>
    <mergeCell ref="D4:D8"/>
    <mergeCell ref="B4:B8"/>
    <mergeCell ref="H5:J5"/>
    <mergeCell ref="J6:J7"/>
    <mergeCell ref="I3:K3"/>
    <mergeCell ref="H6:H7"/>
    <mergeCell ref="I6:I7"/>
    <mergeCell ref="E3:H3"/>
    <mergeCell ref="E5:G5"/>
    <mergeCell ref="E6:E7"/>
    <mergeCell ref="J77:P77"/>
    <mergeCell ref="L4:L8"/>
    <mergeCell ref="B77:H77"/>
    <mergeCell ref="B78:G78"/>
    <mergeCell ref="J78:N78"/>
    <mergeCell ref="P3:P9"/>
    <mergeCell ref="K4:K7"/>
    <mergeCell ref="F6:F7"/>
    <mergeCell ref="B76:H76"/>
    <mergeCell ref="C4:C8"/>
    <mergeCell ref="J76:P76"/>
  </mergeCells>
  <phoneticPr fontId="0" type="noConversion"/>
  <conditionalFormatting sqref="A31">
    <cfRule type="expression" priority="21" stopIfTrue="1">
      <formula>MOD(row,0)=0</formula>
    </cfRule>
  </conditionalFormatting>
  <conditionalFormatting sqref="A68">
    <cfRule type="expression" priority="18" stopIfTrue="1">
      <formula>MOD(row,0)=0</formula>
    </cfRule>
  </conditionalFormatting>
  <conditionalFormatting sqref="A68">
    <cfRule type="expression" dxfId="34" priority="17" stopIfTrue="1">
      <formula>MOD(ROW(),2)=1</formula>
    </cfRule>
  </conditionalFormatting>
  <conditionalFormatting sqref="A68">
    <cfRule type="expression" dxfId="33" priority="15" stopIfTrue="1">
      <formula>MOD(ROW(),2)=1</formula>
    </cfRule>
    <cfRule type="expression" priority="16" stopIfTrue="1">
      <formula>MOD(ROW(),2)=1</formula>
    </cfRule>
  </conditionalFormatting>
  <conditionalFormatting sqref="A68">
    <cfRule type="expression" priority="14" stopIfTrue="1">
      <formula>MOD(row,0)=0</formula>
    </cfRule>
  </conditionalFormatting>
  <conditionalFormatting sqref="A68">
    <cfRule type="expression" priority="13" stopIfTrue="1">
      <formula>MOD((((#REF!))),0)=0</formula>
    </cfRule>
  </conditionalFormatting>
  <conditionalFormatting sqref="B68:B70">
    <cfRule type="expression" priority="12" stopIfTrue="1">
      <formula>MOD(row,0)=0</formula>
    </cfRule>
  </conditionalFormatting>
  <conditionalFormatting sqref="B68:B70">
    <cfRule type="expression" dxfId="32" priority="11" stopIfTrue="1">
      <formula>MOD(ROW(),2)=1</formula>
    </cfRule>
  </conditionalFormatting>
  <conditionalFormatting sqref="B68:B70">
    <cfRule type="expression" dxfId="31" priority="9" stopIfTrue="1">
      <formula>MOD(ROW(),2)=1</formula>
    </cfRule>
    <cfRule type="expression" priority="10" stopIfTrue="1">
      <formula>MOD(ROW(),2)=1</formula>
    </cfRule>
  </conditionalFormatting>
  <conditionalFormatting sqref="B68:B70">
    <cfRule type="expression" priority="8" stopIfTrue="1">
      <formula>MOD(row,0)=0</formula>
    </cfRule>
  </conditionalFormatting>
  <conditionalFormatting sqref="B68:B70">
    <cfRule type="expression" priority="7" stopIfTrue="1">
      <formula>MOD((((#REF!))),0)=0</formula>
    </cfRule>
  </conditionalFormatting>
  <conditionalFormatting sqref="P68">
    <cfRule type="expression" priority="6" stopIfTrue="1">
      <formula>MOD(row,0)=0</formula>
    </cfRule>
  </conditionalFormatting>
  <conditionalFormatting sqref="P68">
    <cfRule type="expression" dxfId="30" priority="5" stopIfTrue="1">
      <formula>MOD(ROW(),2)=1</formula>
    </cfRule>
  </conditionalFormatting>
  <conditionalFormatting sqref="P68">
    <cfRule type="expression" dxfId="29" priority="3" stopIfTrue="1">
      <formula>MOD(ROW(),2)=1</formula>
    </cfRule>
    <cfRule type="expression" priority="4" stopIfTrue="1">
      <formula>MOD(ROW(),2)=1</formula>
    </cfRule>
  </conditionalFormatting>
  <conditionalFormatting sqref="P68">
    <cfRule type="expression" priority="2" stopIfTrue="1">
      <formula>MOD(row,0)=0</formula>
    </cfRule>
  </conditionalFormatting>
  <conditionalFormatting sqref="P68">
    <cfRule type="expression" priority="1" stopIfTrue="1">
      <formula>MOD((((#REF!))),0)=0</formula>
    </cfRule>
  </conditionalFormatting>
  <pageMargins left="0.62992125984252001" right="0.511811023622047" top="0.511811023622047" bottom="0" header="0" footer="0.196850393700787"/>
  <pageSetup paperSize="512" firstPageNumber="12" orientation="portrait" useFirstPageNumber="1" r:id="rId1"/>
  <headerFooter alignWithMargins="0">
    <oddFooter>&amp;C&amp;"Times New Roman,Regular"&amp;8&amp;P</oddFooter>
  </headerFooter>
  <ignoredErrors>
    <ignoredError sqref="G17 D30 G30:H30 J30:L30 N30:O30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dimension ref="A1:P69"/>
  <sheetViews>
    <sheetView zoomScale="110" zoomScaleNormal="110" workbookViewId="0">
      <pane xSplit="2" ySplit="6" topLeftCell="C50" activePane="bottomRight" state="frozen"/>
      <selection pane="topRight" activeCell="C1" sqref="C1"/>
      <selection pane="bottomLeft" activeCell="A7" sqref="A7"/>
      <selection pane="bottomRight" activeCell="O30" sqref="O30"/>
    </sheetView>
  </sheetViews>
  <sheetFormatPr defaultColWidth="9.140625" defaultRowHeight="12.75"/>
  <cols>
    <col min="1" max="1" width="9.85546875" style="811" customWidth="1"/>
    <col min="2" max="2" width="2" style="811" customWidth="1"/>
    <col min="3" max="3" width="13.7109375" style="811" customWidth="1"/>
    <col min="4" max="4" width="12.85546875" style="811" customWidth="1"/>
    <col min="5" max="5" width="13" style="811" customWidth="1"/>
    <col min="6" max="6" width="13.42578125" style="811" customWidth="1"/>
    <col min="7" max="7" width="13" style="811" customWidth="1"/>
    <col min="8" max="9" width="12.7109375" style="811" customWidth="1"/>
    <col min="10" max="11" width="13.28515625" style="811" customWidth="1"/>
    <col min="12" max="12" width="14.42578125" style="811" customWidth="1"/>
    <col min="13" max="13" width="11.85546875" style="811" customWidth="1"/>
    <col min="14" max="16384" width="9.140625" style="811"/>
  </cols>
  <sheetData>
    <row r="1" spans="1:13" s="320" customFormat="1" ht="15.75">
      <c r="E1" s="1819" t="s">
        <v>1724</v>
      </c>
      <c r="F1" s="1819"/>
      <c r="G1" s="1819"/>
      <c r="H1" s="1825" t="s">
        <v>1062</v>
      </c>
      <c r="I1" s="1825"/>
      <c r="J1" s="1825"/>
      <c r="L1" s="1819" t="s">
        <v>912</v>
      </c>
      <c r="M1" s="1819"/>
    </row>
    <row r="2" spans="1:13" s="323" customFormat="1" ht="10.5" customHeight="1">
      <c r="G2" s="863"/>
      <c r="L2" s="1826" t="s">
        <v>537</v>
      </c>
      <c r="M2" s="1826"/>
    </row>
    <row r="3" spans="1:13" s="323" customFormat="1" ht="3" customHeight="1">
      <c r="G3" s="863"/>
      <c r="L3" s="863"/>
    </row>
    <row r="4" spans="1:13" s="326" customFormat="1" ht="22.5" customHeight="1">
      <c r="A4" s="1827" t="s">
        <v>1978</v>
      </c>
      <c r="B4" s="1828"/>
      <c r="C4" s="1700" t="s">
        <v>499</v>
      </c>
      <c r="D4" s="1700" t="s">
        <v>1981</v>
      </c>
      <c r="E4" s="1820" t="s">
        <v>1008</v>
      </c>
      <c r="F4" s="1821"/>
      <c r="G4" s="1768"/>
      <c r="H4" s="1820" t="s">
        <v>1010</v>
      </c>
      <c r="I4" s="1821"/>
      <c r="J4" s="1768"/>
      <c r="K4" s="1700" t="s">
        <v>1661</v>
      </c>
      <c r="L4" s="1700" t="s">
        <v>1980</v>
      </c>
      <c r="M4" s="1822" t="s">
        <v>1979</v>
      </c>
    </row>
    <row r="5" spans="1:13" s="326" customFormat="1" ht="22.5" customHeight="1">
      <c r="A5" s="1829"/>
      <c r="B5" s="1830"/>
      <c r="C5" s="1701"/>
      <c r="D5" s="1701"/>
      <c r="E5" s="1576" t="s">
        <v>1009</v>
      </c>
      <c r="F5" s="1576" t="s">
        <v>1129</v>
      </c>
      <c r="G5" s="1576" t="s">
        <v>1128</v>
      </c>
      <c r="H5" s="1576" t="s">
        <v>1009</v>
      </c>
      <c r="I5" s="1576" t="s">
        <v>1129</v>
      </c>
      <c r="J5" s="1576" t="s">
        <v>1128</v>
      </c>
      <c r="K5" s="1701"/>
      <c r="L5" s="1701"/>
      <c r="M5" s="1823"/>
    </row>
    <row r="6" spans="1:13" s="974" customFormat="1" ht="12" customHeight="1">
      <c r="A6" s="1831"/>
      <c r="B6" s="1832"/>
      <c r="C6" s="972">
        <v>1</v>
      </c>
      <c r="D6" s="973">
        <v>2</v>
      </c>
      <c r="E6" s="973">
        <v>3</v>
      </c>
      <c r="F6" s="973">
        <v>4</v>
      </c>
      <c r="G6" s="973" t="s">
        <v>500</v>
      </c>
      <c r="H6" s="973">
        <v>6</v>
      </c>
      <c r="I6" s="973">
        <v>7</v>
      </c>
      <c r="J6" s="973" t="s">
        <v>501</v>
      </c>
      <c r="K6" s="973">
        <v>9</v>
      </c>
      <c r="L6" s="973" t="s">
        <v>1011</v>
      </c>
      <c r="M6" s="1824"/>
    </row>
    <row r="7" spans="1:13" ht="12.95" hidden="1" customHeight="1">
      <c r="A7" s="317" t="s">
        <v>1205</v>
      </c>
      <c r="B7" s="317"/>
      <c r="C7" s="327">
        <f>25632.7-50</f>
        <v>25582.7</v>
      </c>
      <c r="D7" s="969">
        <f>51.27+0.1</f>
        <v>51.370000000000005</v>
      </c>
      <c r="E7" s="969">
        <v>2484.4499999999998</v>
      </c>
      <c r="F7" s="969">
        <v>3777.62</v>
      </c>
      <c r="G7" s="969">
        <f t="shared" ref="G7:G31" si="0">E7+F7</f>
        <v>6262.07</v>
      </c>
      <c r="H7" s="969">
        <v>8703.4699999999993</v>
      </c>
      <c r="I7" s="969">
        <v>76915.679999999993</v>
      </c>
      <c r="J7" s="969">
        <f t="shared" ref="J7:J31" si="1">H7+I7</f>
        <v>85619.15</v>
      </c>
      <c r="K7" s="969">
        <v>31321.98</v>
      </c>
      <c r="L7" s="969">
        <f t="shared" ref="L7:L41" si="2">C7+D7+G7+J7+K7</f>
        <v>148837.26999999999</v>
      </c>
      <c r="M7" s="810" t="s">
        <v>1205</v>
      </c>
    </row>
    <row r="8" spans="1:13" ht="12.95" customHeight="1">
      <c r="A8" s="317" t="s">
        <v>1210</v>
      </c>
      <c r="B8" s="317"/>
      <c r="C8" s="857">
        <v>31534.2</v>
      </c>
      <c r="D8" s="857">
        <v>36.200000000000003</v>
      </c>
      <c r="E8" s="857">
        <v>1765</v>
      </c>
      <c r="F8" s="857">
        <v>3881.3</v>
      </c>
      <c r="G8" s="969">
        <f t="shared" si="0"/>
        <v>5646.3</v>
      </c>
      <c r="H8" s="857">
        <v>12759.4</v>
      </c>
      <c r="I8" s="857">
        <v>94248.9</v>
      </c>
      <c r="J8" s="969">
        <f t="shared" si="1"/>
        <v>107008.29999999999</v>
      </c>
      <c r="K8" s="857">
        <v>34187.300000000003</v>
      </c>
      <c r="L8" s="969">
        <f t="shared" si="2"/>
        <v>178412.3</v>
      </c>
      <c r="M8" s="810" t="s">
        <v>1210</v>
      </c>
    </row>
    <row r="9" spans="1:13" ht="12.95" customHeight="1">
      <c r="A9" s="317" t="s">
        <v>1219</v>
      </c>
      <c r="B9" s="317"/>
      <c r="C9" s="852">
        <v>35938.800000000003</v>
      </c>
      <c r="D9" s="852">
        <v>22.3</v>
      </c>
      <c r="E9" s="852">
        <v>1989.3</v>
      </c>
      <c r="F9" s="852">
        <v>5123.1000000000004</v>
      </c>
      <c r="G9" s="969">
        <f t="shared" si="0"/>
        <v>7112.4000000000005</v>
      </c>
      <c r="H9" s="852">
        <v>14033.9</v>
      </c>
      <c r="I9" s="852">
        <v>110174.39999999999</v>
      </c>
      <c r="J9" s="969">
        <f t="shared" si="1"/>
        <v>124208.29999999999</v>
      </c>
      <c r="K9" s="852">
        <v>36879.599999999999</v>
      </c>
      <c r="L9" s="969">
        <f t="shared" si="2"/>
        <v>204161.4</v>
      </c>
      <c r="M9" s="810" t="s">
        <v>1219</v>
      </c>
    </row>
    <row r="10" spans="1:13" ht="12.95" customHeight="1">
      <c r="A10" s="317" t="s">
        <v>916</v>
      </c>
      <c r="B10" s="317"/>
      <c r="C10" s="852">
        <v>46751</v>
      </c>
      <c r="D10" s="852">
        <v>18.8</v>
      </c>
      <c r="E10" s="852">
        <v>1625</v>
      </c>
      <c r="F10" s="852">
        <v>6192.6</v>
      </c>
      <c r="G10" s="969">
        <f t="shared" si="0"/>
        <v>7817.6</v>
      </c>
      <c r="H10" s="852">
        <v>8518.6</v>
      </c>
      <c r="I10" s="852">
        <v>142152.20000000001</v>
      </c>
      <c r="J10" s="969">
        <f t="shared" si="1"/>
        <v>150670.80000000002</v>
      </c>
      <c r="K10" s="852">
        <v>41790.9</v>
      </c>
      <c r="L10" s="969">
        <f t="shared" si="2"/>
        <v>247049.1</v>
      </c>
      <c r="M10" s="810" t="s">
        <v>916</v>
      </c>
    </row>
    <row r="11" spans="1:13" ht="12.95" customHeight="1">
      <c r="A11" s="317" t="s">
        <v>230</v>
      </c>
      <c r="B11" s="317"/>
      <c r="C11" s="852">
        <v>58007.6</v>
      </c>
      <c r="D11" s="852">
        <v>15.5</v>
      </c>
      <c r="E11" s="852">
        <v>2027.2</v>
      </c>
      <c r="F11" s="852">
        <v>8210</v>
      </c>
      <c r="G11" s="969">
        <f t="shared" si="0"/>
        <v>10237.200000000001</v>
      </c>
      <c r="H11" s="852">
        <v>8877</v>
      </c>
      <c r="I11" s="852">
        <v>166223.4</v>
      </c>
      <c r="J11" s="969">
        <f t="shared" si="1"/>
        <v>175100.4</v>
      </c>
      <c r="K11" s="852">
        <v>43494.1</v>
      </c>
      <c r="L11" s="969">
        <f t="shared" si="2"/>
        <v>286854.8</v>
      </c>
      <c r="M11" s="810" t="s">
        <v>230</v>
      </c>
    </row>
    <row r="12" spans="1:13" ht="12.95" customHeight="1">
      <c r="A12" s="317" t="s">
        <v>220</v>
      </c>
      <c r="B12" s="317"/>
      <c r="C12" s="852">
        <v>54252.9</v>
      </c>
      <c r="D12" s="852">
        <v>12.3</v>
      </c>
      <c r="E12" s="852">
        <v>1765.4</v>
      </c>
      <c r="F12" s="852">
        <v>9474.7999999999993</v>
      </c>
      <c r="G12" s="969">
        <f t="shared" si="0"/>
        <v>11240.199999999999</v>
      </c>
      <c r="H12" s="852">
        <v>11036.2</v>
      </c>
      <c r="I12" s="852">
        <v>205147.4</v>
      </c>
      <c r="J12" s="969">
        <f t="shared" si="1"/>
        <v>216183.6</v>
      </c>
      <c r="K12" s="852">
        <v>56138.6</v>
      </c>
      <c r="L12" s="969">
        <f t="shared" si="2"/>
        <v>337827.6</v>
      </c>
      <c r="M12" s="810" t="s">
        <v>220</v>
      </c>
    </row>
    <row r="13" spans="1:13" ht="12.95" customHeight="1">
      <c r="A13" s="317" t="s">
        <v>489</v>
      </c>
      <c r="B13" s="317"/>
      <c r="C13" s="852">
        <v>73227.899999999994</v>
      </c>
      <c r="D13" s="852">
        <v>9.4</v>
      </c>
      <c r="E13" s="852">
        <v>2162.1</v>
      </c>
      <c r="F13" s="852">
        <v>9681.2999999999993</v>
      </c>
      <c r="G13" s="969">
        <f t="shared" si="0"/>
        <v>11843.4</v>
      </c>
      <c r="H13" s="852">
        <v>14780.8</v>
      </c>
      <c r="I13" s="852">
        <v>261545.2</v>
      </c>
      <c r="J13" s="969">
        <f t="shared" si="1"/>
        <v>276326</v>
      </c>
      <c r="K13" s="852">
        <v>69486.3</v>
      </c>
      <c r="L13" s="969">
        <f t="shared" si="2"/>
        <v>430892.99999999994</v>
      </c>
      <c r="M13" s="810" t="s">
        <v>489</v>
      </c>
    </row>
    <row r="14" spans="1:13" ht="12.95" customHeight="1">
      <c r="A14" s="317" t="s">
        <v>1580</v>
      </c>
      <c r="B14" s="317"/>
      <c r="C14" s="852">
        <v>91728.8</v>
      </c>
      <c r="D14" s="852">
        <v>5.8</v>
      </c>
      <c r="E14" s="852">
        <v>2558.6</v>
      </c>
      <c r="F14" s="852">
        <v>11158.6</v>
      </c>
      <c r="G14" s="969">
        <v>13717.2</v>
      </c>
      <c r="H14" s="852">
        <v>12777.7</v>
      </c>
      <c r="I14" s="852">
        <v>320176.90000000002</v>
      </c>
      <c r="J14" s="969">
        <v>332954.60000000003</v>
      </c>
      <c r="K14" s="852">
        <v>76566.2</v>
      </c>
      <c r="L14" s="969">
        <v>514972.60000000003</v>
      </c>
      <c r="M14" s="810" t="s">
        <v>1580</v>
      </c>
    </row>
    <row r="15" spans="1:13" ht="12.95" customHeight="1">
      <c r="A15" s="317" t="s">
        <v>1809</v>
      </c>
      <c r="B15" s="317"/>
      <c r="C15" s="852">
        <v>110124.6</v>
      </c>
      <c r="D15" s="852">
        <v>2.2999999999999998</v>
      </c>
      <c r="E15" s="852">
        <v>3509.3</v>
      </c>
      <c r="F15" s="852">
        <v>14227.8</v>
      </c>
      <c r="G15" s="969">
        <v>17737.099999999999</v>
      </c>
      <c r="H15" s="852">
        <v>5943.7</v>
      </c>
      <c r="I15" s="852">
        <v>354128.7</v>
      </c>
      <c r="J15" s="969">
        <v>360072.4</v>
      </c>
      <c r="K15" s="852">
        <v>83800.7</v>
      </c>
      <c r="L15" s="969">
        <v>571737.1</v>
      </c>
      <c r="M15" s="810" t="s">
        <v>1809</v>
      </c>
    </row>
    <row r="16" spans="1:13" s="805" customFormat="1" ht="11.25" customHeight="1">
      <c r="A16" s="931" t="s">
        <v>2226</v>
      </c>
      <c r="B16" s="918"/>
      <c r="C16" s="1061">
        <f>C28</f>
        <v>117529.4</v>
      </c>
      <c r="D16" s="1061">
        <f t="shared" ref="D16:L16" si="3">D28</f>
        <v>0</v>
      </c>
      <c r="E16" s="1061">
        <f t="shared" si="3"/>
        <v>5279.8</v>
      </c>
      <c r="F16" s="1061">
        <f t="shared" si="3"/>
        <v>17064.3</v>
      </c>
      <c r="G16" s="1061">
        <f t="shared" si="3"/>
        <v>22344.1</v>
      </c>
      <c r="H16" s="1061">
        <f t="shared" si="3"/>
        <v>7457.2</v>
      </c>
      <c r="I16" s="1061">
        <f t="shared" si="3"/>
        <v>396366.5</v>
      </c>
      <c r="J16" s="1061">
        <f t="shared" si="3"/>
        <v>403823.7</v>
      </c>
      <c r="K16" s="1061">
        <f t="shared" si="3"/>
        <v>94209.1</v>
      </c>
      <c r="L16" s="1061">
        <f t="shared" si="3"/>
        <v>637906.29999999993</v>
      </c>
      <c r="M16" s="932" t="s">
        <v>2226</v>
      </c>
    </row>
    <row r="17" spans="1:16" s="678" customFormat="1" ht="12" hidden="1" customHeight="1">
      <c r="A17" s="431" t="s">
        <v>1211</v>
      </c>
      <c r="B17" s="482"/>
      <c r="C17" s="852">
        <v>114706.6</v>
      </c>
      <c r="D17" s="852">
        <v>2.0653458781566885</v>
      </c>
      <c r="E17" s="852">
        <v>3718.6278440204405</v>
      </c>
      <c r="F17" s="852">
        <v>14350.110454642867</v>
      </c>
      <c r="G17" s="969">
        <f t="shared" si="0"/>
        <v>18068.738298663309</v>
      </c>
      <c r="H17" s="852">
        <v>6659.1068101014025</v>
      </c>
      <c r="I17" s="852">
        <v>357826.99876208697</v>
      </c>
      <c r="J17" s="969">
        <f t="shared" si="1"/>
        <v>364486.10557218839</v>
      </c>
      <c r="K17" s="852">
        <v>84299.6</v>
      </c>
      <c r="L17" s="969">
        <f t="shared" si="2"/>
        <v>581563.10921672988</v>
      </c>
      <c r="M17" s="762" t="s">
        <v>1211</v>
      </c>
      <c r="P17" s="1009"/>
    </row>
    <row r="18" spans="1:16" s="678" customFormat="1" ht="12" hidden="1" customHeight="1">
      <c r="A18" s="431" t="s">
        <v>1212</v>
      </c>
      <c r="B18" s="482"/>
      <c r="C18" s="852">
        <v>110299.1</v>
      </c>
      <c r="D18" s="852">
        <v>1.8631418085833036</v>
      </c>
      <c r="E18" s="852">
        <v>3713.9194808803268</v>
      </c>
      <c r="F18" s="852">
        <v>14979.434403163112</v>
      </c>
      <c r="G18" s="969">
        <f t="shared" si="0"/>
        <v>18693.353884043438</v>
      </c>
      <c r="H18" s="852">
        <v>6571.6173773110904</v>
      </c>
      <c r="I18" s="852">
        <v>361036.6754893008</v>
      </c>
      <c r="J18" s="969">
        <f t="shared" si="1"/>
        <v>367608.29286661191</v>
      </c>
      <c r="K18" s="852">
        <v>84603.3</v>
      </c>
      <c r="L18" s="969">
        <f t="shared" si="2"/>
        <v>581205.90989246394</v>
      </c>
      <c r="M18" s="762" t="s">
        <v>1212</v>
      </c>
      <c r="P18" s="1009"/>
    </row>
    <row r="19" spans="1:16" s="678" customFormat="1" ht="11.25" hidden="1" customHeight="1">
      <c r="A19" s="431" t="s">
        <v>1206</v>
      </c>
      <c r="B19" s="482"/>
      <c r="C19" s="852">
        <v>109925.7</v>
      </c>
      <c r="D19" s="852">
        <v>1.756276730689357</v>
      </c>
      <c r="E19" s="852">
        <v>3921.6277797110561</v>
      </c>
      <c r="F19" s="852">
        <v>14992.56795135985</v>
      </c>
      <c r="G19" s="969">
        <f t="shared" si="0"/>
        <v>18914.195731070904</v>
      </c>
      <c r="H19" s="852">
        <v>6629.1159435582549</v>
      </c>
      <c r="I19" s="852">
        <v>365051.70996073459</v>
      </c>
      <c r="J19" s="969">
        <f t="shared" si="1"/>
        <v>371680.82590429287</v>
      </c>
      <c r="K19" s="852">
        <v>85745.9</v>
      </c>
      <c r="L19" s="969">
        <f t="shared" si="2"/>
        <v>586268.37791209447</v>
      </c>
      <c r="M19" s="762" t="s">
        <v>1206</v>
      </c>
      <c r="P19" s="1009"/>
    </row>
    <row r="20" spans="1:16" s="678" customFormat="1" ht="12" hidden="1" customHeight="1">
      <c r="A20" s="431" t="s">
        <v>1213</v>
      </c>
      <c r="B20" s="482"/>
      <c r="C20" s="852">
        <v>114561.5</v>
      </c>
      <c r="D20" s="852">
        <v>1.2429229412341163</v>
      </c>
      <c r="E20" s="852">
        <v>4027.9121255675691</v>
      </c>
      <c r="F20" s="852">
        <v>15849.388898370215</v>
      </c>
      <c r="G20" s="969">
        <f t="shared" si="0"/>
        <v>19877.301023937784</v>
      </c>
      <c r="H20" s="852">
        <v>6835.9449514911967</v>
      </c>
      <c r="I20" s="852">
        <v>366494.08698244859</v>
      </c>
      <c r="J20" s="969">
        <f t="shared" si="1"/>
        <v>373330.03193393978</v>
      </c>
      <c r="K20" s="852">
        <v>86122.9</v>
      </c>
      <c r="L20" s="969">
        <f t="shared" si="2"/>
        <v>593892.97588081879</v>
      </c>
      <c r="M20" s="762" t="s">
        <v>1213</v>
      </c>
      <c r="P20" s="1009"/>
    </row>
    <row r="21" spans="1:16" s="678" customFormat="1" ht="12" hidden="1" customHeight="1">
      <c r="A21" s="431" t="s">
        <v>1214</v>
      </c>
      <c r="B21" s="482"/>
      <c r="C21" s="852">
        <v>113931.59999999999</v>
      </c>
      <c r="D21" s="852">
        <v>0.9344170250349606</v>
      </c>
      <c r="E21" s="852">
        <v>4401.5541968519665</v>
      </c>
      <c r="F21" s="852">
        <v>15805.403076641305</v>
      </c>
      <c r="G21" s="969">
        <f t="shared" si="0"/>
        <v>20206.957273493274</v>
      </c>
      <c r="H21" s="852">
        <v>6826.911386122998</v>
      </c>
      <c r="I21" s="852">
        <v>369074.66967635462</v>
      </c>
      <c r="J21" s="969">
        <f t="shared" si="1"/>
        <v>375901.58106247761</v>
      </c>
      <c r="K21" s="852">
        <v>86439.027247004036</v>
      </c>
      <c r="L21" s="969">
        <f t="shared" si="2"/>
        <v>596480.09999999986</v>
      </c>
      <c r="M21" s="762" t="s">
        <v>1214</v>
      </c>
      <c r="P21" s="1009"/>
    </row>
    <row r="22" spans="1:16" s="678" customFormat="1" ht="11.25" hidden="1" customHeight="1">
      <c r="A22" s="431" t="s">
        <v>1207</v>
      </c>
      <c r="B22" s="482"/>
      <c r="C22" s="1377">
        <v>114845.1</v>
      </c>
      <c r="D22" s="847">
        <v>0.92890284073312879</v>
      </c>
      <c r="E22" s="847">
        <v>4596.1550390870616</v>
      </c>
      <c r="F22" s="852">
        <v>16279.864796820082</v>
      </c>
      <c r="G22" s="88">
        <f t="shared" si="0"/>
        <v>20876.019835907144</v>
      </c>
      <c r="H22" s="847">
        <v>7760.6160580722053</v>
      </c>
      <c r="I22" s="847">
        <v>373970.32187242113</v>
      </c>
      <c r="J22" s="88">
        <f t="shared" si="1"/>
        <v>381730.93793049332</v>
      </c>
      <c r="K22" s="852">
        <v>88516.4</v>
      </c>
      <c r="L22" s="88">
        <f t="shared" si="2"/>
        <v>605969.38666924124</v>
      </c>
      <c r="M22" s="762" t="s">
        <v>1207</v>
      </c>
      <c r="P22" s="1009"/>
    </row>
    <row r="23" spans="1:16" s="678" customFormat="1" ht="11.25" hidden="1" customHeight="1">
      <c r="A23" s="1378" t="s">
        <v>1215</v>
      </c>
      <c r="B23" s="1379"/>
      <c r="C23" s="1377">
        <v>114939.7</v>
      </c>
      <c r="D23" s="1011">
        <v>0.4</v>
      </c>
      <c r="E23" s="1011">
        <v>4767.3</v>
      </c>
      <c r="F23" s="1377">
        <v>16861.2</v>
      </c>
      <c r="G23" s="1380">
        <f t="shared" si="0"/>
        <v>21628.5</v>
      </c>
      <c r="H23" s="1011">
        <v>7627.8</v>
      </c>
      <c r="I23" s="1011">
        <v>372999.1</v>
      </c>
      <c r="J23" s="1380">
        <f t="shared" si="1"/>
        <v>380626.89999999997</v>
      </c>
      <c r="K23" s="1377">
        <v>88268.5</v>
      </c>
      <c r="L23" s="1380">
        <f t="shared" si="2"/>
        <v>605464</v>
      </c>
      <c r="M23" s="1381" t="s">
        <v>1215</v>
      </c>
      <c r="P23" s="1009"/>
    </row>
    <row r="24" spans="1:16" s="678" customFormat="1" ht="12" hidden="1" customHeight="1">
      <c r="A24" s="431" t="s">
        <v>1216</v>
      </c>
      <c r="B24" s="482"/>
      <c r="C24" s="847">
        <v>116020.59999999999</v>
      </c>
      <c r="D24" s="847">
        <v>0.2</v>
      </c>
      <c r="E24" s="852">
        <v>4786.1000000000004</v>
      </c>
      <c r="F24" s="88">
        <v>17188.2</v>
      </c>
      <c r="G24" s="88">
        <f t="shared" si="0"/>
        <v>21974.300000000003</v>
      </c>
      <c r="H24" s="847">
        <v>7828.5</v>
      </c>
      <c r="I24" s="847">
        <v>373648</v>
      </c>
      <c r="J24" s="88">
        <f t="shared" si="1"/>
        <v>381476.5</v>
      </c>
      <c r="K24" s="852">
        <v>89337.7</v>
      </c>
      <c r="L24" s="88">
        <f t="shared" si="2"/>
        <v>608809.29999999993</v>
      </c>
      <c r="M24" s="762" t="s">
        <v>1216</v>
      </c>
      <c r="P24" s="1009"/>
    </row>
    <row r="25" spans="1:16" s="678" customFormat="1" ht="12.95" hidden="1" customHeight="1">
      <c r="A25" s="1378" t="s">
        <v>1208</v>
      </c>
      <c r="B25" s="1379"/>
      <c r="C25" s="1377">
        <v>114044.6</v>
      </c>
      <c r="D25" s="1377">
        <v>0</v>
      </c>
      <c r="E25" s="1377">
        <v>4890.3999999999996</v>
      </c>
      <c r="F25" s="1377">
        <v>17297.099999999999</v>
      </c>
      <c r="G25" s="1380">
        <f t="shared" si="0"/>
        <v>22187.5</v>
      </c>
      <c r="H25" s="1377">
        <v>8401.4</v>
      </c>
      <c r="I25" s="1377">
        <v>377532.8</v>
      </c>
      <c r="J25" s="1380">
        <f t="shared" si="1"/>
        <v>385934.2</v>
      </c>
      <c r="K25" s="1377">
        <v>91548.5</v>
      </c>
      <c r="L25" s="1380">
        <f t="shared" si="2"/>
        <v>613714.80000000005</v>
      </c>
      <c r="M25" s="1381" t="s">
        <v>1208</v>
      </c>
      <c r="P25" s="1009"/>
    </row>
    <row r="26" spans="1:16" s="678" customFormat="1" ht="12.95" hidden="1" customHeight="1">
      <c r="A26" s="431" t="s">
        <v>1217</v>
      </c>
      <c r="B26" s="482"/>
      <c r="C26" s="845">
        <v>113154.2</v>
      </c>
      <c r="D26" s="845">
        <v>0</v>
      </c>
      <c r="E26" s="845">
        <v>5010.8</v>
      </c>
      <c r="F26" s="845">
        <v>17841.7</v>
      </c>
      <c r="G26" s="845">
        <f t="shared" si="0"/>
        <v>22852.5</v>
      </c>
      <c r="H26" s="845">
        <v>8173.3</v>
      </c>
      <c r="I26" s="845">
        <v>383104.7</v>
      </c>
      <c r="J26" s="845">
        <f t="shared" si="1"/>
        <v>391278</v>
      </c>
      <c r="K26" s="845">
        <v>91463.4</v>
      </c>
      <c r="L26" s="845">
        <f t="shared" si="2"/>
        <v>618748.1</v>
      </c>
      <c r="M26" s="762" t="s">
        <v>1217</v>
      </c>
      <c r="P26" s="1009"/>
    </row>
    <row r="27" spans="1:16" s="678" customFormat="1" ht="12.95" hidden="1" customHeight="1">
      <c r="A27" s="1378" t="s">
        <v>1218</v>
      </c>
      <c r="B27" s="1379"/>
      <c r="C27" s="1377">
        <v>111954.4</v>
      </c>
      <c r="D27" s="1377">
        <v>0</v>
      </c>
      <c r="E27" s="1377">
        <v>5180.5</v>
      </c>
      <c r="F27" s="1377">
        <v>17083.5</v>
      </c>
      <c r="G27" s="1377">
        <f t="shared" si="0"/>
        <v>22264</v>
      </c>
      <c r="H27" s="1377">
        <v>8725.9</v>
      </c>
      <c r="I27" s="1377">
        <v>385255.6</v>
      </c>
      <c r="J27" s="1377">
        <f t="shared" si="1"/>
        <v>393981.5</v>
      </c>
      <c r="K27" s="1377">
        <v>92381.4</v>
      </c>
      <c r="L27" s="1377">
        <f t="shared" si="2"/>
        <v>620581.30000000005</v>
      </c>
      <c r="M27" s="1381" t="s">
        <v>1218</v>
      </c>
      <c r="P27" s="1009"/>
    </row>
    <row r="28" spans="1:16" s="678" customFormat="1" ht="12.95" hidden="1" customHeight="1">
      <c r="A28" s="431" t="s">
        <v>1209</v>
      </c>
      <c r="B28" s="482"/>
      <c r="C28" s="845">
        <v>117529.4</v>
      </c>
      <c r="D28" s="845">
        <v>0</v>
      </c>
      <c r="E28" s="845">
        <v>5279.8</v>
      </c>
      <c r="F28" s="845">
        <v>17064.3</v>
      </c>
      <c r="G28" s="845">
        <f t="shared" si="0"/>
        <v>22344.1</v>
      </c>
      <c r="H28" s="845">
        <v>7457.2</v>
      </c>
      <c r="I28" s="845">
        <v>396366.5</v>
      </c>
      <c r="J28" s="845">
        <f t="shared" si="1"/>
        <v>403823.7</v>
      </c>
      <c r="K28" s="845">
        <v>94209.1</v>
      </c>
      <c r="L28" s="845">
        <f t="shared" si="2"/>
        <v>637906.29999999993</v>
      </c>
      <c r="M28" s="762" t="s">
        <v>1209</v>
      </c>
      <c r="P28" s="1009"/>
    </row>
    <row r="29" spans="1:16" s="678" customFormat="1" ht="12.95" customHeight="1">
      <c r="A29" s="931" t="s">
        <v>2376</v>
      </c>
      <c r="B29" s="482"/>
      <c r="C29" s="1061">
        <f>C41</f>
        <v>110257.3</v>
      </c>
      <c r="D29" s="1061">
        <f t="shared" ref="D29:L29" si="4">D41</f>
        <v>0</v>
      </c>
      <c r="E29" s="1061">
        <f t="shared" si="4"/>
        <v>5366.6</v>
      </c>
      <c r="F29" s="1061">
        <f t="shared" si="4"/>
        <v>21902.2</v>
      </c>
      <c r="G29" s="1061">
        <f t="shared" si="4"/>
        <v>27268.799999999999</v>
      </c>
      <c r="H29" s="1061">
        <f t="shared" si="4"/>
        <v>11303.2</v>
      </c>
      <c r="I29" s="1061">
        <f t="shared" si="4"/>
        <v>447518.7</v>
      </c>
      <c r="J29" s="1061">
        <f t="shared" si="4"/>
        <v>458821.8</v>
      </c>
      <c r="K29" s="1061">
        <f t="shared" si="4"/>
        <v>105178.6</v>
      </c>
      <c r="L29" s="1061">
        <f t="shared" si="4"/>
        <v>701526.5</v>
      </c>
      <c r="M29" s="932" t="s">
        <v>2376</v>
      </c>
      <c r="P29" s="1009"/>
    </row>
    <row r="30" spans="1:16" s="678" customFormat="1" ht="12.95" customHeight="1">
      <c r="A30" s="519" t="s">
        <v>1211</v>
      </c>
      <c r="B30" s="530"/>
      <c r="C30" s="845">
        <v>124686.9</v>
      </c>
      <c r="D30" s="845">
        <v>0</v>
      </c>
      <c r="E30" s="845">
        <v>5293.5</v>
      </c>
      <c r="F30" s="845">
        <v>17694.7</v>
      </c>
      <c r="G30" s="845">
        <f t="shared" si="0"/>
        <v>22988.2</v>
      </c>
      <c r="H30" s="845">
        <v>7970.3</v>
      </c>
      <c r="I30" s="845">
        <v>395282.6</v>
      </c>
      <c r="J30" s="845">
        <f t="shared" si="1"/>
        <v>403252.89999999997</v>
      </c>
      <c r="K30" s="845">
        <v>94860.9</v>
      </c>
      <c r="L30" s="845">
        <f t="shared" si="2"/>
        <v>645788.9</v>
      </c>
      <c r="M30" s="762" t="s">
        <v>1211</v>
      </c>
      <c r="P30" s="1009"/>
    </row>
    <row r="31" spans="1:16" s="678" customFormat="1" ht="12.95" customHeight="1">
      <c r="A31" s="431" t="s">
        <v>1212</v>
      </c>
      <c r="B31" s="482"/>
      <c r="C31" s="852">
        <v>119492.1</v>
      </c>
      <c r="D31" s="852">
        <v>0</v>
      </c>
      <c r="E31" s="852">
        <v>5587</v>
      </c>
      <c r="F31" s="852">
        <v>17957.099999999999</v>
      </c>
      <c r="G31" s="852">
        <f t="shared" si="0"/>
        <v>23544.1</v>
      </c>
      <c r="H31" s="852">
        <v>9062.7999999999993</v>
      </c>
      <c r="I31" s="852">
        <v>398218.1</v>
      </c>
      <c r="J31" s="852">
        <f t="shared" si="1"/>
        <v>407280.89999999997</v>
      </c>
      <c r="K31" s="852">
        <v>96907.8</v>
      </c>
      <c r="L31" s="852">
        <f t="shared" si="2"/>
        <v>647224.9</v>
      </c>
      <c r="M31" s="762" t="s">
        <v>1212</v>
      </c>
      <c r="P31" s="1009"/>
    </row>
    <row r="32" spans="1:16" s="678" customFormat="1" ht="12.95" customHeight="1">
      <c r="A32" s="519" t="s">
        <v>1206</v>
      </c>
      <c r="B32" s="530"/>
      <c r="C32" s="845">
        <v>121242.7</v>
      </c>
      <c r="D32" s="845">
        <v>0</v>
      </c>
      <c r="E32" s="845">
        <v>5422.2</v>
      </c>
      <c r="F32" s="845">
        <v>19539.400000000001</v>
      </c>
      <c r="G32" s="845">
        <v>24961.7</v>
      </c>
      <c r="H32" s="845">
        <v>9154.6</v>
      </c>
      <c r="I32" s="845">
        <v>405494.1</v>
      </c>
      <c r="J32" s="845">
        <v>414648.7</v>
      </c>
      <c r="K32" s="845">
        <v>97365.5</v>
      </c>
      <c r="L32" s="845">
        <f t="shared" si="2"/>
        <v>658218.6</v>
      </c>
      <c r="M32" s="762" t="s">
        <v>1206</v>
      </c>
      <c r="P32" s="1009"/>
    </row>
    <row r="33" spans="1:16" s="678" customFormat="1" ht="12.95" customHeight="1">
      <c r="A33" s="431" t="s">
        <v>1213</v>
      </c>
      <c r="B33" s="482"/>
      <c r="C33" s="852">
        <v>117636.6</v>
      </c>
      <c r="D33" s="852">
        <v>0</v>
      </c>
      <c r="E33" s="852">
        <v>5181.8999999999996</v>
      </c>
      <c r="F33" s="852">
        <v>19877.7</v>
      </c>
      <c r="G33" s="852">
        <f t="shared" ref="G33:G40" si="5">E33+F33</f>
        <v>25059.599999999999</v>
      </c>
      <c r="H33" s="852">
        <v>9287.5</v>
      </c>
      <c r="I33" s="852">
        <v>406704.9</v>
      </c>
      <c r="J33" s="852">
        <f t="shared" ref="J33:J40" si="6">H33+I33</f>
        <v>415992.4</v>
      </c>
      <c r="K33" s="852">
        <v>98650.6</v>
      </c>
      <c r="L33" s="852">
        <f t="shared" si="2"/>
        <v>657339.20000000007</v>
      </c>
      <c r="M33" s="762" t="s">
        <v>1213</v>
      </c>
      <c r="P33" s="1009"/>
    </row>
    <row r="34" spans="1:16" s="678" customFormat="1" ht="12.95" customHeight="1">
      <c r="A34" s="519" t="s">
        <v>1214</v>
      </c>
      <c r="B34" s="530"/>
      <c r="C34" s="845">
        <v>114690.2</v>
      </c>
      <c r="D34" s="845">
        <v>0</v>
      </c>
      <c r="E34" s="845">
        <v>5227.5</v>
      </c>
      <c r="F34" s="845">
        <v>19945.5</v>
      </c>
      <c r="G34" s="845">
        <f t="shared" si="5"/>
        <v>25173</v>
      </c>
      <c r="H34" s="845">
        <v>11070.3</v>
      </c>
      <c r="I34" s="845">
        <v>411955</v>
      </c>
      <c r="J34" s="845">
        <f t="shared" si="6"/>
        <v>423025.3</v>
      </c>
      <c r="K34" s="845">
        <v>99150.7</v>
      </c>
      <c r="L34" s="845">
        <f t="shared" si="2"/>
        <v>662039.19999999995</v>
      </c>
      <c r="M34" s="762" t="s">
        <v>1214</v>
      </c>
      <c r="P34" s="1009"/>
    </row>
    <row r="35" spans="1:16" s="678" customFormat="1" ht="12.95" customHeight="1">
      <c r="A35" s="431" t="s">
        <v>1207</v>
      </c>
      <c r="B35" s="482"/>
      <c r="C35" s="852">
        <v>112090.6</v>
      </c>
      <c r="D35" s="852">
        <v>0</v>
      </c>
      <c r="E35" s="852">
        <v>5782.5</v>
      </c>
      <c r="F35" s="852">
        <v>19534.099999999999</v>
      </c>
      <c r="G35" s="852">
        <f t="shared" si="5"/>
        <v>25316.6</v>
      </c>
      <c r="H35" s="852">
        <v>12454.3</v>
      </c>
      <c r="I35" s="852">
        <v>422384.6</v>
      </c>
      <c r="J35" s="852">
        <f t="shared" si="6"/>
        <v>434838.89999999997</v>
      </c>
      <c r="K35" s="852">
        <v>101488.5</v>
      </c>
      <c r="L35" s="852">
        <f t="shared" si="2"/>
        <v>673734.6</v>
      </c>
      <c r="M35" s="762" t="s">
        <v>1207</v>
      </c>
      <c r="O35" s="1145"/>
      <c r="P35" s="1009"/>
    </row>
    <row r="36" spans="1:16" s="678" customFormat="1" ht="12.95" customHeight="1">
      <c r="A36" s="519" t="s">
        <v>1215</v>
      </c>
      <c r="B36" s="530"/>
      <c r="C36" s="845">
        <v>111214.2</v>
      </c>
      <c r="D36" s="845">
        <v>0</v>
      </c>
      <c r="E36" s="845">
        <v>5799.1</v>
      </c>
      <c r="F36" s="845">
        <v>20108.2</v>
      </c>
      <c r="G36" s="845">
        <f t="shared" si="5"/>
        <v>25907.300000000003</v>
      </c>
      <c r="H36" s="845">
        <v>12095.7</v>
      </c>
      <c r="I36" s="845">
        <v>420984.6</v>
      </c>
      <c r="J36" s="845">
        <f t="shared" si="6"/>
        <v>433080.3</v>
      </c>
      <c r="K36" s="845">
        <v>100789.1</v>
      </c>
      <c r="L36" s="845">
        <f t="shared" si="2"/>
        <v>670990.9</v>
      </c>
      <c r="M36" s="735" t="s">
        <v>1215</v>
      </c>
      <c r="P36" s="1009"/>
    </row>
    <row r="37" spans="1:16" s="678" customFormat="1" ht="12.95" customHeight="1">
      <c r="A37" s="431" t="s">
        <v>1216</v>
      </c>
      <c r="B37" s="482"/>
      <c r="C37" s="852">
        <v>110701.5</v>
      </c>
      <c r="D37" s="852">
        <v>0</v>
      </c>
      <c r="E37" s="852">
        <v>5259</v>
      </c>
      <c r="F37" s="852">
        <v>20719.3</v>
      </c>
      <c r="G37" s="852">
        <f t="shared" si="5"/>
        <v>25978.3</v>
      </c>
      <c r="H37" s="852">
        <v>12081.3</v>
      </c>
      <c r="I37" s="852">
        <v>423109.4</v>
      </c>
      <c r="J37" s="852">
        <f t="shared" si="6"/>
        <v>435190.7</v>
      </c>
      <c r="K37" s="852">
        <v>101705.8</v>
      </c>
      <c r="L37" s="852">
        <f t="shared" si="2"/>
        <v>673576.3</v>
      </c>
      <c r="M37" s="762" t="s">
        <v>1216</v>
      </c>
      <c r="O37" s="1145"/>
      <c r="P37" s="1009"/>
    </row>
    <row r="38" spans="1:16" s="678" customFormat="1" ht="12.95" customHeight="1">
      <c r="A38" s="519" t="s">
        <v>1208</v>
      </c>
      <c r="B38" s="530"/>
      <c r="C38" s="845">
        <v>105648.8</v>
      </c>
      <c r="D38" s="845">
        <v>0</v>
      </c>
      <c r="E38" s="845">
        <v>5165.7</v>
      </c>
      <c r="F38" s="845">
        <v>20366.3</v>
      </c>
      <c r="G38" s="845">
        <f t="shared" si="5"/>
        <v>25532</v>
      </c>
      <c r="H38" s="845">
        <v>12752.6</v>
      </c>
      <c r="I38" s="845">
        <v>429566.8</v>
      </c>
      <c r="J38" s="845">
        <f t="shared" si="6"/>
        <v>442319.39999999997</v>
      </c>
      <c r="K38" s="845">
        <v>102735</v>
      </c>
      <c r="L38" s="845">
        <f t="shared" si="2"/>
        <v>676235.2</v>
      </c>
      <c r="M38" s="735" t="s">
        <v>1208</v>
      </c>
      <c r="O38" s="1145"/>
      <c r="P38" s="1009"/>
    </row>
    <row r="39" spans="1:16" s="678" customFormat="1" ht="12.95" customHeight="1">
      <c r="A39" s="431" t="s">
        <v>1217</v>
      </c>
      <c r="B39" s="482"/>
      <c r="C39" s="852">
        <v>104281.1</v>
      </c>
      <c r="D39" s="852">
        <v>0</v>
      </c>
      <c r="E39" s="852">
        <v>5214.6000000000004</v>
      </c>
      <c r="F39" s="852">
        <v>20874.7</v>
      </c>
      <c r="G39" s="852">
        <f t="shared" si="5"/>
        <v>26089.300000000003</v>
      </c>
      <c r="H39" s="852">
        <v>11897.2</v>
      </c>
      <c r="I39" s="852">
        <v>434044.6</v>
      </c>
      <c r="J39" s="852">
        <f t="shared" si="6"/>
        <v>445941.8</v>
      </c>
      <c r="K39" s="852">
        <v>102856.7</v>
      </c>
      <c r="L39" s="852">
        <f t="shared" si="2"/>
        <v>679168.89999999991</v>
      </c>
      <c r="M39" s="762" t="s">
        <v>1217</v>
      </c>
      <c r="O39" s="1145"/>
      <c r="P39" s="1009"/>
    </row>
    <row r="40" spans="1:16" s="678" customFormat="1" ht="12.95" customHeight="1">
      <c r="A40" s="519" t="s">
        <v>1218</v>
      </c>
      <c r="B40" s="530"/>
      <c r="C40" s="845">
        <v>106003</v>
      </c>
      <c r="D40" s="845">
        <v>0</v>
      </c>
      <c r="E40" s="845">
        <v>5244.7</v>
      </c>
      <c r="F40" s="845">
        <v>21431.5</v>
      </c>
      <c r="G40" s="845">
        <f t="shared" si="5"/>
        <v>26676.2</v>
      </c>
      <c r="H40" s="845">
        <v>11326.9</v>
      </c>
      <c r="I40" s="845">
        <v>437083.5</v>
      </c>
      <c r="J40" s="845">
        <f t="shared" si="6"/>
        <v>448410.4</v>
      </c>
      <c r="K40" s="845">
        <v>103348.4</v>
      </c>
      <c r="L40" s="845">
        <f t="shared" si="2"/>
        <v>684438.00000000012</v>
      </c>
      <c r="M40" s="735" t="s">
        <v>1218</v>
      </c>
      <c r="O40" s="1145"/>
      <c r="P40" s="1009"/>
    </row>
    <row r="41" spans="1:16" s="678" customFormat="1" ht="12.95" customHeight="1">
      <c r="A41" s="431" t="s">
        <v>1209</v>
      </c>
      <c r="B41" s="482"/>
      <c r="C41" s="846">
        <v>110257.3</v>
      </c>
      <c r="D41" s="846">
        <v>0</v>
      </c>
      <c r="E41" s="846">
        <v>5366.6</v>
      </c>
      <c r="F41" s="846">
        <v>21902.2</v>
      </c>
      <c r="G41" s="846">
        <v>27268.799999999999</v>
      </c>
      <c r="H41" s="846">
        <v>11303.2</v>
      </c>
      <c r="I41" s="846">
        <v>447518.7</v>
      </c>
      <c r="J41" s="846">
        <v>458821.8</v>
      </c>
      <c r="K41" s="846">
        <v>105178.6</v>
      </c>
      <c r="L41" s="852">
        <f t="shared" si="2"/>
        <v>701526.5</v>
      </c>
      <c r="M41" s="762" t="s">
        <v>1209</v>
      </c>
      <c r="O41" s="1145"/>
      <c r="P41" s="1009"/>
    </row>
    <row r="42" spans="1:16" s="678" customFormat="1" ht="14.1" customHeight="1">
      <c r="A42" s="639" t="s">
        <v>2608</v>
      </c>
      <c r="B42" s="530"/>
      <c r="C42" s="1069">
        <f>C54</f>
        <v>114219.6</v>
      </c>
      <c r="D42" s="1069">
        <f t="shared" ref="D42:L42" si="7">D54</f>
        <v>0</v>
      </c>
      <c r="E42" s="1069">
        <f t="shared" si="7"/>
        <v>6923.8</v>
      </c>
      <c r="F42" s="1069">
        <f t="shared" si="7"/>
        <v>26923.7</v>
      </c>
      <c r="G42" s="1069">
        <f t="shared" si="7"/>
        <v>33847.5</v>
      </c>
      <c r="H42" s="1069">
        <f t="shared" si="7"/>
        <v>9127.2999999999993</v>
      </c>
      <c r="I42" s="1069">
        <f t="shared" si="7"/>
        <v>531340.4</v>
      </c>
      <c r="J42" s="1069">
        <f t="shared" si="7"/>
        <v>540467.70000000007</v>
      </c>
      <c r="K42" s="1069">
        <f t="shared" si="7"/>
        <v>112745.2</v>
      </c>
      <c r="L42" s="1069">
        <f t="shared" si="7"/>
        <v>801280</v>
      </c>
      <c r="M42" s="930" t="s">
        <v>2608</v>
      </c>
      <c r="O42" s="1145"/>
      <c r="P42" s="1009"/>
    </row>
    <row r="43" spans="1:16" s="678" customFormat="1" ht="14.1" customHeight="1">
      <c r="A43" s="431" t="s">
        <v>1211</v>
      </c>
      <c r="B43" s="482"/>
      <c r="C43" s="846">
        <v>121725.9</v>
      </c>
      <c r="D43" s="846">
        <v>0</v>
      </c>
      <c r="E43" s="846">
        <v>5752.5</v>
      </c>
      <c r="F43" s="846">
        <v>22181.9</v>
      </c>
      <c r="G43" s="846">
        <f t="shared" ref="G43:G48" si="8">E43+F43</f>
        <v>27934.400000000001</v>
      </c>
      <c r="H43" s="846">
        <v>9787.4</v>
      </c>
      <c r="I43" s="846">
        <v>446466.5</v>
      </c>
      <c r="J43" s="846">
        <f t="shared" ref="J43:J50" si="9">H43+I43</f>
        <v>456253.9</v>
      </c>
      <c r="K43" s="846">
        <v>105020.3</v>
      </c>
      <c r="L43" s="852">
        <f t="shared" ref="L43:L48" si="10">C43+D43+G43+J43+K43</f>
        <v>710934.5</v>
      </c>
      <c r="M43" s="762" t="s">
        <v>1211</v>
      </c>
      <c r="O43" s="1145"/>
      <c r="P43" s="1009"/>
    </row>
    <row r="44" spans="1:16" s="678" customFormat="1" ht="14.1" customHeight="1">
      <c r="A44" s="519" t="s">
        <v>1212</v>
      </c>
      <c r="B44" s="530"/>
      <c r="C44" s="847">
        <v>115687.1</v>
      </c>
      <c r="D44" s="847">
        <v>0</v>
      </c>
      <c r="E44" s="847">
        <v>5968.4</v>
      </c>
      <c r="F44" s="847">
        <v>22699.200000000001</v>
      </c>
      <c r="G44" s="847">
        <f t="shared" si="8"/>
        <v>28667.599999999999</v>
      </c>
      <c r="H44" s="847">
        <v>9719.4</v>
      </c>
      <c r="I44" s="847">
        <v>449894.40000000002</v>
      </c>
      <c r="J44" s="847">
        <f t="shared" si="9"/>
        <v>459613.80000000005</v>
      </c>
      <c r="K44" s="847">
        <v>105583.3</v>
      </c>
      <c r="L44" s="845">
        <f t="shared" si="10"/>
        <v>709551.8</v>
      </c>
      <c r="M44" s="735" t="s">
        <v>1212</v>
      </c>
      <c r="O44" s="1145"/>
      <c r="P44" s="1009"/>
    </row>
    <row r="45" spans="1:16" s="678" customFormat="1" ht="12.75" customHeight="1">
      <c r="A45" s="431" t="s">
        <v>1206</v>
      </c>
      <c r="B45" s="482"/>
      <c r="C45" s="846">
        <v>118172.7</v>
      </c>
      <c r="D45" s="846">
        <v>0</v>
      </c>
      <c r="E45" s="846">
        <v>6349.2</v>
      </c>
      <c r="F45" s="846">
        <v>23198.400000000001</v>
      </c>
      <c r="G45" s="846">
        <f t="shared" si="8"/>
        <v>29547.600000000002</v>
      </c>
      <c r="H45" s="846">
        <v>9434.7000000000007</v>
      </c>
      <c r="I45" s="846">
        <v>461334.5</v>
      </c>
      <c r="J45" s="846">
        <f t="shared" si="9"/>
        <v>470769.2</v>
      </c>
      <c r="K45" s="846">
        <v>105152.7</v>
      </c>
      <c r="L45" s="852">
        <f t="shared" si="10"/>
        <v>723642.2</v>
      </c>
      <c r="M45" s="762" t="s">
        <v>1206</v>
      </c>
      <c r="O45" s="1145"/>
      <c r="P45" s="1009"/>
    </row>
    <row r="46" spans="1:16" s="678" customFormat="1" ht="12.75" customHeight="1">
      <c r="A46" s="519" t="s">
        <v>1213</v>
      </c>
      <c r="B46" s="530"/>
      <c r="C46" s="847">
        <v>112629.6</v>
      </c>
      <c r="D46" s="847">
        <v>0</v>
      </c>
      <c r="E46" s="847">
        <v>6534</v>
      </c>
      <c r="F46" s="847">
        <v>23192.400000000001</v>
      </c>
      <c r="G46" s="847">
        <f t="shared" si="8"/>
        <v>29726.400000000001</v>
      </c>
      <c r="H46" s="847">
        <v>9612.5</v>
      </c>
      <c r="I46" s="847">
        <v>466275.8</v>
      </c>
      <c r="J46" s="847">
        <f t="shared" si="9"/>
        <v>475888.3</v>
      </c>
      <c r="K46" s="847">
        <v>105208.9</v>
      </c>
      <c r="L46" s="845">
        <f t="shared" si="10"/>
        <v>723453.20000000007</v>
      </c>
      <c r="M46" s="735" t="s">
        <v>1213</v>
      </c>
      <c r="O46" s="1145"/>
      <c r="P46" s="1009"/>
    </row>
    <row r="47" spans="1:16" s="678" customFormat="1" ht="12.75" customHeight="1">
      <c r="A47" s="431" t="s">
        <v>1214</v>
      </c>
      <c r="B47" s="482"/>
      <c r="C47" s="846">
        <v>110110</v>
      </c>
      <c r="D47" s="846">
        <v>0</v>
      </c>
      <c r="E47" s="846">
        <v>6683.3</v>
      </c>
      <c r="F47" s="846">
        <v>23893.9</v>
      </c>
      <c r="G47" s="846">
        <f t="shared" si="8"/>
        <v>30577.200000000001</v>
      </c>
      <c r="H47" s="846">
        <v>9560</v>
      </c>
      <c r="I47" s="846">
        <v>474093.4</v>
      </c>
      <c r="J47" s="846">
        <f t="shared" si="9"/>
        <v>483653.4</v>
      </c>
      <c r="K47" s="846">
        <v>105935.3</v>
      </c>
      <c r="L47" s="852">
        <f t="shared" si="10"/>
        <v>730275.90000000014</v>
      </c>
      <c r="M47" s="762" t="s">
        <v>1214</v>
      </c>
      <c r="O47" s="1145"/>
      <c r="P47" s="1009"/>
    </row>
    <row r="48" spans="1:16" s="678" customFormat="1" ht="12.75" customHeight="1">
      <c r="A48" s="519" t="s">
        <v>1207</v>
      </c>
      <c r="B48" s="530"/>
      <c r="C48" s="847">
        <v>103488.7</v>
      </c>
      <c r="D48" s="847">
        <v>0</v>
      </c>
      <c r="E48" s="847">
        <v>6585.9</v>
      </c>
      <c r="F48" s="847">
        <v>24222.3</v>
      </c>
      <c r="G48" s="847">
        <f t="shared" si="8"/>
        <v>30808.199999999997</v>
      </c>
      <c r="H48" s="847">
        <v>10063</v>
      </c>
      <c r="I48" s="847">
        <v>487528.1</v>
      </c>
      <c r="J48" s="847">
        <f t="shared" si="9"/>
        <v>497591.1</v>
      </c>
      <c r="K48" s="847">
        <v>108756.4</v>
      </c>
      <c r="L48" s="845">
        <f t="shared" si="10"/>
        <v>740644.4</v>
      </c>
      <c r="M48" s="735" t="s">
        <v>1207</v>
      </c>
      <c r="O48" s="1145"/>
      <c r="P48" s="1009"/>
    </row>
    <row r="49" spans="1:16" s="678" customFormat="1" ht="12" customHeight="1">
      <c r="A49" s="431" t="s">
        <v>1215</v>
      </c>
      <c r="B49" s="482"/>
      <c r="C49" s="846">
        <v>100090.1</v>
      </c>
      <c r="D49" s="846">
        <v>0</v>
      </c>
      <c r="E49" s="846">
        <v>6982.2</v>
      </c>
      <c r="F49" s="846">
        <v>24185</v>
      </c>
      <c r="G49" s="846">
        <f t="shared" ref="G49:G59" si="11">E49+F49</f>
        <v>31167.200000000001</v>
      </c>
      <c r="H49" s="846">
        <v>10820.7</v>
      </c>
      <c r="I49" s="846">
        <v>491115.3</v>
      </c>
      <c r="J49" s="846">
        <f>H49+I49</f>
        <v>501936</v>
      </c>
      <c r="K49" s="846">
        <v>106899.5</v>
      </c>
      <c r="L49" s="852">
        <f t="shared" ref="L49:L61" si="12">C49+D49+G49+J49+K49</f>
        <v>740092.8</v>
      </c>
      <c r="M49" s="762" t="s">
        <v>1215</v>
      </c>
      <c r="O49" s="1145"/>
      <c r="P49" s="1009"/>
    </row>
    <row r="50" spans="1:16" s="678" customFormat="1" ht="14.1" customHeight="1">
      <c r="A50" s="519" t="s">
        <v>1216</v>
      </c>
      <c r="B50" s="530"/>
      <c r="C50" s="847">
        <v>102692.2</v>
      </c>
      <c r="D50" s="847">
        <v>0</v>
      </c>
      <c r="E50" s="847">
        <v>7077.8</v>
      </c>
      <c r="F50" s="847">
        <v>24657.200000000001</v>
      </c>
      <c r="G50" s="847">
        <f t="shared" si="11"/>
        <v>31735</v>
      </c>
      <c r="H50" s="847">
        <v>9942.2000000000007</v>
      </c>
      <c r="I50" s="847">
        <v>494856.3</v>
      </c>
      <c r="J50" s="847">
        <f t="shared" si="9"/>
        <v>504798.5</v>
      </c>
      <c r="K50" s="847">
        <v>108447.1</v>
      </c>
      <c r="L50" s="845">
        <f t="shared" si="12"/>
        <v>747672.79999999993</v>
      </c>
      <c r="M50" s="735" t="s">
        <v>1216</v>
      </c>
      <c r="O50" s="1145"/>
      <c r="P50" s="1009"/>
    </row>
    <row r="51" spans="1:16" s="678" customFormat="1" ht="14.1" customHeight="1">
      <c r="A51" s="431" t="s">
        <v>1208</v>
      </c>
      <c r="B51" s="482"/>
      <c r="C51" s="846">
        <v>99778.1</v>
      </c>
      <c r="D51" s="846">
        <v>0</v>
      </c>
      <c r="E51" s="846">
        <v>7124.5</v>
      </c>
      <c r="F51" s="846">
        <v>24937.4</v>
      </c>
      <c r="G51" s="846">
        <f t="shared" si="11"/>
        <v>32061.9</v>
      </c>
      <c r="H51" s="846">
        <v>10145.9</v>
      </c>
      <c r="I51" s="846">
        <v>502226.7</v>
      </c>
      <c r="J51" s="846">
        <f>H51+I51</f>
        <v>512372.60000000003</v>
      </c>
      <c r="K51" s="846">
        <v>109278.3</v>
      </c>
      <c r="L51" s="852">
        <f t="shared" si="12"/>
        <v>753490.90000000014</v>
      </c>
      <c r="M51" s="762" t="s">
        <v>1208</v>
      </c>
      <c r="O51" s="1145"/>
      <c r="P51" s="1009"/>
    </row>
    <row r="52" spans="1:16" s="678" customFormat="1" ht="14.1" customHeight="1">
      <c r="A52" s="519" t="s">
        <v>1217</v>
      </c>
      <c r="B52" s="530"/>
      <c r="C52" s="847">
        <v>97542.5</v>
      </c>
      <c r="D52" s="847">
        <v>0</v>
      </c>
      <c r="E52" s="847">
        <v>7263.7</v>
      </c>
      <c r="F52" s="847">
        <v>25468.9</v>
      </c>
      <c r="G52" s="847">
        <f t="shared" si="11"/>
        <v>32732.600000000002</v>
      </c>
      <c r="H52" s="847">
        <v>9876</v>
      </c>
      <c r="I52" s="847">
        <v>510302.1</v>
      </c>
      <c r="J52" s="847">
        <f>H52+I52</f>
        <v>520178.1</v>
      </c>
      <c r="K52" s="847">
        <v>108962.8</v>
      </c>
      <c r="L52" s="845">
        <f t="shared" si="12"/>
        <v>759416</v>
      </c>
      <c r="M52" s="735" t="s">
        <v>1217</v>
      </c>
      <c r="O52" s="1145"/>
      <c r="P52" s="1009"/>
    </row>
    <row r="53" spans="1:16" s="678" customFormat="1" ht="14.1" customHeight="1">
      <c r="A53" s="431" t="s">
        <v>1218</v>
      </c>
      <c r="B53" s="482"/>
      <c r="C53" s="846">
        <v>102109.4</v>
      </c>
      <c r="D53" s="846">
        <v>0</v>
      </c>
      <c r="E53" s="846">
        <v>7073.8</v>
      </c>
      <c r="F53" s="846">
        <v>26481.9</v>
      </c>
      <c r="G53" s="846">
        <f t="shared" si="11"/>
        <v>33555.700000000004</v>
      </c>
      <c r="H53" s="846">
        <v>10009.700000000001</v>
      </c>
      <c r="I53" s="846">
        <v>517709.5</v>
      </c>
      <c r="J53" s="846">
        <f>H53+I53</f>
        <v>527719.19999999995</v>
      </c>
      <c r="K53" s="846">
        <v>109825.7</v>
      </c>
      <c r="L53" s="852">
        <f t="shared" si="12"/>
        <v>773209.99999999988</v>
      </c>
      <c r="M53" s="762" t="s">
        <v>1218</v>
      </c>
      <c r="O53" s="1145"/>
      <c r="P53" s="1009"/>
    </row>
    <row r="54" spans="1:16" s="678" customFormat="1" ht="14.1" customHeight="1">
      <c r="A54" s="813" t="s">
        <v>1209</v>
      </c>
      <c r="B54" s="520"/>
      <c r="C54" s="847">
        <v>114219.6</v>
      </c>
      <c r="D54" s="847">
        <v>0</v>
      </c>
      <c r="E54" s="847">
        <v>6923.8</v>
      </c>
      <c r="F54" s="847">
        <v>26923.7</v>
      </c>
      <c r="G54" s="847">
        <f t="shared" si="11"/>
        <v>33847.5</v>
      </c>
      <c r="H54" s="847">
        <v>9127.2999999999993</v>
      </c>
      <c r="I54" s="847">
        <v>531340.4</v>
      </c>
      <c r="J54" s="847">
        <f>H54+I54</f>
        <v>540467.70000000007</v>
      </c>
      <c r="K54" s="847">
        <v>112745.2</v>
      </c>
      <c r="L54" s="845">
        <f t="shared" si="12"/>
        <v>801280</v>
      </c>
      <c r="M54" s="814" t="s">
        <v>1209</v>
      </c>
      <c r="N54" s="432"/>
      <c r="O54" s="1145"/>
      <c r="P54" s="1009"/>
    </row>
    <row r="55" spans="1:16" s="678" customFormat="1" ht="14.1" customHeight="1">
      <c r="A55" s="695" t="s">
        <v>2809</v>
      </c>
      <c r="B55" s="432"/>
      <c r="C55" s="846"/>
      <c r="D55" s="846"/>
      <c r="E55" s="846"/>
      <c r="F55" s="846"/>
      <c r="G55" s="846"/>
      <c r="H55" s="846"/>
      <c r="I55" s="846"/>
      <c r="J55" s="846"/>
      <c r="K55" s="846"/>
      <c r="L55" s="852"/>
      <c r="M55" s="697" t="s">
        <v>2809</v>
      </c>
      <c r="N55" s="432"/>
      <c r="O55" s="1145"/>
      <c r="P55" s="1009"/>
    </row>
    <row r="56" spans="1:16" s="678" customFormat="1" ht="14.1" customHeight="1">
      <c r="A56" s="543" t="s">
        <v>1211</v>
      </c>
      <c r="B56" s="520"/>
      <c r="C56" s="847">
        <v>116658.1</v>
      </c>
      <c r="D56" s="847">
        <v>0</v>
      </c>
      <c r="E56" s="847">
        <v>7022.9</v>
      </c>
      <c r="F56" s="847">
        <v>27808.9</v>
      </c>
      <c r="G56" s="847">
        <f t="shared" si="11"/>
        <v>34831.800000000003</v>
      </c>
      <c r="H56" s="847">
        <v>8975.7000000000007</v>
      </c>
      <c r="I56" s="847">
        <v>524397.19999999995</v>
      </c>
      <c r="J56" s="847">
        <f>H56+I56</f>
        <v>533372.89999999991</v>
      </c>
      <c r="K56" s="847">
        <v>113105.7</v>
      </c>
      <c r="L56" s="845">
        <f t="shared" si="12"/>
        <v>797968.49999999988</v>
      </c>
      <c r="M56" s="544" t="s">
        <v>1211</v>
      </c>
      <c r="N56" s="432"/>
      <c r="O56" s="1145"/>
      <c r="P56" s="1009"/>
    </row>
    <row r="57" spans="1:16" s="678" customFormat="1" ht="14.1" customHeight="1">
      <c r="A57" s="315" t="s">
        <v>1212</v>
      </c>
      <c r="B57" s="432"/>
      <c r="C57" s="846">
        <v>113324.2</v>
      </c>
      <c r="D57" s="846">
        <v>0</v>
      </c>
      <c r="E57" s="846">
        <v>7245.5</v>
      </c>
      <c r="F57" s="846">
        <v>27872.400000000001</v>
      </c>
      <c r="G57" s="846">
        <f t="shared" si="11"/>
        <v>35117.9</v>
      </c>
      <c r="H57" s="846">
        <v>8864.2000000000007</v>
      </c>
      <c r="I57" s="846">
        <v>531068.19999999995</v>
      </c>
      <c r="J57" s="846">
        <f>H57+I57</f>
        <v>539932.39999999991</v>
      </c>
      <c r="K57" s="846">
        <v>112983.9</v>
      </c>
      <c r="L57" s="852">
        <f t="shared" si="12"/>
        <v>801358.39999999991</v>
      </c>
      <c r="M57" s="385" t="s">
        <v>1212</v>
      </c>
      <c r="N57" s="432"/>
      <c r="O57" s="1145"/>
      <c r="P57" s="1009"/>
    </row>
    <row r="58" spans="1:16" s="678" customFormat="1" ht="14.1" customHeight="1">
      <c r="A58" s="543" t="s">
        <v>1206</v>
      </c>
      <c r="B58" s="1369"/>
      <c r="C58" s="847">
        <v>113663.5</v>
      </c>
      <c r="D58" s="847">
        <v>0</v>
      </c>
      <c r="E58" s="847">
        <v>7064.8</v>
      </c>
      <c r="F58" s="847">
        <v>27844</v>
      </c>
      <c r="G58" s="847">
        <f t="shared" si="11"/>
        <v>34908.800000000003</v>
      </c>
      <c r="H58" s="847">
        <v>8847.6</v>
      </c>
      <c r="I58" s="847">
        <v>536857.80000000005</v>
      </c>
      <c r="J58" s="847">
        <f>H58+I58</f>
        <v>545705.4</v>
      </c>
      <c r="K58" s="534">
        <v>115435.3</v>
      </c>
      <c r="L58" s="845">
        <f t="shared" si="12"/>
        <v>809713</v>
      </c>
      <c r="M58" s="544" t="s">
        <v>1206</v>
      </c>
      <c r="N58" s="432"/>
      <c r="O58" s="1145"/>
      <c r="P58" s="1009"/>
    </row>
    <row r="59" spans="1:16" s="678" customFormat="1" ht="14.1" customHeight="1">
      <c r="A59" s="315" t="s">
        <v>1213</v>
      </c>
      <c r="B59" s="892"/>
      <c r="C59" s="846">
        <v>110012.4</v>
      </c>
      <c r="D59" s="846">
        <v>0</v>
      </c>
      <c r="E59" s="846">
        <v>6893</v>
      </c>
      <c r="F59" s="846">
        <v>28205.3</v>
      </c>
      <c r="G59" s="846">
        <f t="shared" si="11"/>
        <v>35098.300000000003</v>
      </c>
      <c r="H59" s="846">
        <v>8524.5</v>
      </c>
      <c r="I59" s="846">
        <v>540219.69999999995</v>
      </c>
      <c r="J59" s="846">
        <f>H59+I59</f>
        <v>548744.19999999995</v>
      </c>
      <c r="K59" s="42">
        <v>116655.8</v>
      </c>
      <c r="L59" s="852">
        <f t="shared" si="12"/>
        <v>810510.7</v>
      </c>
      <c r="M59" s="385" t="s">
        <v>1213</v>
      </c>
      <c r="N59" s="432"/>
      <c r="O59" s="1145"/>
      <c r="P59" s="1009"/>
    </row>
    <row r="60" spans="1:16" s="678" customFormat="1" ht="14.1" customHeight="1">
      <c r="A60" s="543" t="s">
        <v>1214</v>
      </c>
      <c r="B60" s="1369"/>
      <c r="C60" s="847">
        <v>108644.5</v>
      </c>
      <c r="D60" s="847">
        <v>0</v>
      </c>
      <c r="E60" s="847">
        <v>7282</v>
      </c>
      <c r="F60" s="847">
        <v>29077.1</v>
      </c>
      <c r="G60" s="847">
        <v>36359.1</v>
      </c>
      <c r="H60" s="847">
        <v>8463.5</v>
      </c>
      <c r="I60" s="847">
        <v>547361.6</v>
      </c>
      <c r="J60" s="847">
        <v>555825</v>
      </c>
      <c r="K60" s="534">
        <v>118119.5</v>
      </c>
      <c r="L60" s="534">
        <f t="shared" si="12"/>
        <v>818948.1</v>
      </c>
      <c r="M60" s="544" t="s">
        <v>1214</v>
      </c>
      <c r="N60" s="432"/>
      <c r="O60" s="1145"/>
      <c r="P60" s="1009"/>
    </row>
    <row r="61" spans="1:16" s="678" customFormat="1" ht="14.1" customHeight="1" thickBot="1">
      <c r="A61" s="1255" t="s">
        <v>1207</v>
      </c>
      <c r="B61" s="1577"/>
      <c r="C61" s="1578">
        <v>98638.8</v>
      </c>
      <c r="D61" s="1578">
        <v>0</v>
      </c>
      <c r="E61" s="1578">
        <v>7545.4</v>
      </c>
      <c r="F61" s="1578">
        <v>30906.6</v>
      </c>
      <c r="G61" s="1578">
        <f>E61+F61</f>
        <v>38452</v>
      </c>
      <c r="H61" s="1578">
        <v>8834.2999999999993</v>
      </c>
      <c r="I61" s="1578">
        <v>565250.4</v>
      </c>
      <c r="J61" s="1578">
        <f>H61+I61</f>
        <v>574084.70000000007</v>
      </c>
      <c r="K61" s="643">
        <v>120862.5</v>
      </c>
      <c r="L61" s="1579">
        <f t="shared" si="12"/>
        <v>832038</v>
      </c>
      <c r="M61" s="1436" t="s">
        <v>1207</v>
      </c>
      <c r="N61" s="432"/>
      <c r="O61" s="1145"/>
      <c r="P61" s="1009"/>
    </row>
    <row r="62" spans="1:16" s="420" customFormat="1" ht="11.45" customHeight="1">
      <c r="A62" s="821" t="s">
        <v>504</v>
      </c>
      <c r="B62" s="420" t="s">
        <v>43</v>
      </c>
      <c r="C62" s="1833" t="s">
        <v>502</v>
      </c>
      <c r="D62" s="1833"/>
      <c r="E62" s="1833"/>
      <c r="F62" s="1833"/>
      <c r="G62" s="1833"/>
      <c r="H62" s="822" t="s">
        <v>497</v>
      </c>
      <c r="I62" s="1834" t="s">
        <v>495</v>
      </c>
      <c r="J62" s="1834"/>
      <c r="K62" s="1834"/>
      <c r="L62" s="1834"/>
      <c r="M62" s="1834"/>
    </row>
    <row r="63" spans="1:16" s="420" customFormat="1" ht="11.25" customHeight="1">
      <c r="B63" s="975" t="s">
        <v>503</v>
      </c>
      <c r="C63" s="1833" t="s">
        <v>2855</v>
      </c>
      <c r="D63" s="1833"/>
      <c r="E63" s="1833"/>
      <c r="F63" s="1833"/>
      <c r="G63" s="1833"/>
    </row>
    <row r="64" spans="1:16">
      <c r="A64" s="315"/>
      <c r="B64" s="315"/>
      <c r="C64" s="315"/>
      <c r="D64" s="315"/>
      <c r="E64" s="315"/>
      <c r="F64" s="315"/>
      <c r="G64" s="315"/>
      <c r="H64" s="892"/>
      <c r="I64" s="892"/>
      <c r="J64" s="892"/>
      <c r="K64" s="892"/>
      <c r="L64" s="892"/>
      <c r="M64" s="892"/>
    </row>
    <row r="65" spans="1:13">
      <c r="A65" s="892"/>
      <c r="B65" s="892"/>
      <c r="C65" s="1012"/>
      <c r="D65" s="1012"/>
      <c r="E65" s="1012"/>
      <c r="F65" s="1012"/>
      <c r="G65" s="1012"/>
      <c r="H65" s="1012"/>
      <c r="I65" s="1012"/>
      <c r="J65" s="1012"/>
      <c r="K65" s="1012"/>
      <c r="L65" s="1012"/>
      <c r="M65" s="892"/>
    </row>
    <row r="66" spans="1:13">
      <c r="C66" s="892"/>
      <c r="D66" s="892"/>
      <c r="E66" s="892"/>
      <c r="F66" s="892"/>
      <c r="G66" s="892"/>
      <c r="H66" s="892"/>
      <c r="I66" s="892"/>
      <c r="J66" s="892"/>
      <c r="K66" s="892"/>
      <c r="L66" s="892"/>
      <c r="M66" s="892"/>
    </row>
    <row r="67" spans="1:13">
      <c r="C67" s="892"/>
      <c r="D67" s="892"/>
      <c r="E67" s="892"/>
      <c r="F67" s="892"/>
      <c r="G67" s="892"/>
      <c r="H67" s="892"/>
      <c r="I67" s="892"/>
      <c r="J67" s="892"/>
      <c r="K67" s="892"/>
      <c r="L67" s="892"/>
      <c r="M67" s="892"/>
    </row>
    <row r="68" spans="1:13">
      <c r="C68" s="892"/>
      <c r="D68" s="892"/>
      <c r="E68" s="892"/>
      <c r="F68" s="892"/>
      <c r="G68" s="892"/>
      <c r="H68" s="892"/>
      <c r="I68" s="892"/>
      <c r="J68" s="892"/>
      <c r="K68" s="892"/>
      <c r="L68" s="892"/>
      <c r="M68" s="892"/>
    </row>
    <row r="69" spans="1:13">
      <c r="C69" s="892"/>
      <c r="D69" s="892"/>
      <c r="E69" s="892"/>
      <c r="F69" s="892"/>
      <c r="G69" s="892"/>
      <c r="H69" s="892"/>
      <c r="I69" s="892"/>
      <c r="J69" s="892"/>
      <c r="K69" s="892"/>
      <c r="L69" s="892"/>
      <c r="M69" s="892"/>
    </row>
  </sheetData>
  <mergeCells count="15">
    <mergeCell ref="A4:B6"/>
    <mergeCell ref="K4:K5"/>
    <mergeCell ref="C63:G63"/>
    <mergeCell ref="C62:G62"/>
    <mergeCell ref="C4:C5"/>
    <mergeCell ref="D4:D5"/>
    <mergeCell ref="I62:M62"/>
    <mergeCell ref="E1:G1"/>
    <mergeCell ref="E4:G4"/>
    <mergeCell ref="H4:J4"/>
    <mergeCell ref="M4:M6"/>
    <mergeCell ref="H1:J1"/>
    <mergeCell ref="L2:M2"/>
    <mergeCell ref="L1:M1"/>
    <mergeCell ref="L4:L5"/>
  </mergeCells>
  <phoneticPr fontId="3" type="noConversion"/>
  <conditionalFormatting sqref="E24:G24 J25 L25 G25 D16:L16 Z35:AB61 AM35:AO61 AZ35:BB61 BM35:BO61 BZ35:CB61 CM35:CO61 CZ35:DB61 DM35:DO61 DZ35:EB61 EM35:EO61 EZ35:FB61 FM35:FO61 FZ35:GB61 GM35:GO61 GZ35:HB61 HM35:HO61 HZ35:IB61 IM35:IO61 D7:E21 H7:I21 F7:G23 C7:C23 J7:L24 M7:M54 A7:A54 B7:B57">
    <cfRule type="expression" dxfId="28" priority="54" stopIfTrue="1">
      <formula>MOD(ROW(),2)=0</formula>
    </cfRule>
  </conditionalFormatting>
  <conditionalFormatting sqref="M54 A54">
    <cfRule type="expression" priority="24" stopIfTrue="1">
      <formula>MOD(row,0)=0</formula>
    </cfRule>
  </conditionalFormatting>
  <conditionalFormatting sqref="M54 A54">
    <cfRule type="expression" dxfId="27" priority="23" stopIfTrue="1">
      <formula>MOD(ROW(),2)=1</formula>
    </cfRule>
  </conditionalFormatting>
  <conditionalFormatting sqref="M54 A54">
    <cfRule type="expression" dxfId="26" priority="21" stopIfTrue="1">
      <formula>MOD(ROW(),2)=1</formula>
    </cfRule>
    <cfRule type="expression" priority="22" stopIfTrue="1">
      <formula>MOD(ROW(),2)=1</formula>
    </cfRule>
  </conditionalFormatting>
  <conditionalFormatting sqref="M54 A54">
    <cfRule type="expression" priority="19" stopIfTrue="1">
      <formula>MOD((((#REF!))),0)=0</formula>
    </cfRule>
  </conditionalFormatting>
  <pageMargins left="0.62992125984252001" right="0.511811023622047" top="0.511811023622047" bottom="0.511811023622047" header="0" footer="0.183070866"/>
  <pageSetup paperSize="512" firstPageNumber="14" orientation="portrait" useFirstPageNumber="1" r:id="rId1"/>
  <headerFooter alignWithMargins="0">
    <oddFooter>&amp;C&amp;"Times New Roman,Regular"&amp;8&amp;P</oddFooter>
  </headerFooter>
  <ignoredErrors>
    <ignoredError sqref="G16:L1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>
  <dimension ref="A1:J81"/>
  <sheetViews>
    <sheetView zoomScale="130" zoomScaleNormal="13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J16" sqref="J16"/>
    </sheetView>
  </sheetViews>
  <sheetFormatPr defaultColWidth="9.140625" defaultRowHeight="11.25"/>
  <cols>
    <col min="1" max="1" width="8.42578125" style="10" customWidth="1"/>
    <col min="2" max="2" width="1.140625" style="10" customWidth="1"/>
    <col min="3" max="3" width="11.140625" style="10" customWidth="1"/>
    <col min="4" max="4" width="10.7109375" style="10" customWidth="1"/>
    <col min="5" max="5" width="10.5703125" style="10" customWidth="1"/>
    <col min="6" max="6" width="10.7109375" style="10" customWidth="1"/>
    <col min="7" max="7" width="11.140625" style="10" customWidth="1"/>
    <col min="8" max="8" width="14.140625" style="10" customWidth="1"/>
    <col min="9" max="9" width="9.140625" style="10" customWidth="1"/>
    <col min="10" max="16384" width="9.140625" style="10"/>
  </cols>
  <sheetData>
    <row r="1" spans="1:10" s="50" customFormat="1" ht="15.75" customHeight="1">
      <c r="A1" s="1760" t="s">
        <v>914</v>
      </c>
      <c r="B1" s="1760"/>
      <c r="C1" s="1760"/>
      <c r="D1" s="1760"/>
      <c r="E1" s="1760"/>
      <c r="F1" s="1760"/>
      <c r="G1" s="1760" t="s">
        <v>508</v>
      </c>
      <c r="H1" s="1760"/>
    </row>
    <row r="2" spans="1:10" s="57" customFormat="1" ht="12">
      <c r="G2" s="1705" t="s">
        <v>42</v>
      </c>
      <c r="H2" s="1837"/>
    </row>
    <row r="3" spans="1:10" s="744" customFormat="1" ht="15" customHeight="1">
      <c r="A3" s="1734" t="s">
        <v>1982</v>
      </c>
      <c r="B3" s="1735"/>
      <c r="C3" s="1700" t="s">
        <v>1810</v>
      </c>
      <c r="D3" s="1700" t="s">
        <v>517</v>
      </c>
      <c r="E3" s="1722" t="s">
        <v>506</v>
      </c>
      <c r="F3" s="1723"/>
      <c r="G3" s="1723"/>
      <c r="H3" s="1700" t="s">
        <v>1778</v>
      </c>
    </row>
    <row r="4" spans="1:10" s="744" customFormat="1" ht="12.75" customHeight="1">
      <c r="A4" s="1736"/>
      <c r="B4" s="1737"/>
      <c r="C4" s="1731"/>
      <c r="D4" s="1836"/>
      <c r="E4" s="1820" t="s">
        <v>507</v>
      </c>
      <c r="F4" s="1821"/>
      <c r="G4" s="1692" t="s">
        <v>2876</v>
      </c>
      <c r="H4" s="1731"/>
    </row>
    <row r="5" spans="1:10" s="326" customFormat="1" ht="19.5" customHeight="1">
      <c r="A5" s="1736"/>
      <c r="B5" s="1737"/>
      <c r="C5" s="1731"/>
      <c r="D5" s="1836"/>
      <c r="E5" s="1700" t="s">
        <v>1673</v>
      </c>
      <c r="F5" s="1700" t="s">
        <v>505</v>
      </c>
      <c r="G5" s="1838"/>
      <c r="H5" s="1731"/>
    </row>
    <row r="6" spans="1:10" s="326" customFormat="1" ht="14.25" customHeight="1">
      <c r="A6" s="1736"/>
      <c r="B6" s="1737"/>
      <c r="C6" s="1701"/>
      <c r="D6" s="1835"/>
      <c r="E6" s="1701"/>
      <c r="F6" s="1835"/>
      <c r="G6" s="1693"/>
      <c r="H6" s="1701"/>
    </row>
    <row r="7" spans="1:10" s="28" customFormat="1" ht="10.5" customHeight="1">
      <c r="A7" s="1738"/>
      <c r="B7" s="1739"/>
      <c r="C7" s="27">
        <v>1</v>
      </c>
      <c r="D7" s="27">
        <v>2</v>
      </c>
      <c r="E7" s="27">
        <v>3</v>
      </c>
      <c r="F7" s="27">
        <v>4</v>
      </c>
      <c r="G7" s="27">
        <v>5</v>
      </c>
      <c r="H7" s="27">
        <v>6</v>
      </c>
    </row>
    <row r="8" spans="1:10" ht="9.9499999999999993" hidden="1" customHeight="1">
      <c r="A8" s="543" t="s">
        <v>1195</v>
      </c>
      <c r="B8" s="543"/>
      <c r="C8" s="528">
        <v>6565.1</v>
      </c>
      <c r="D8" s="528">
        <v>623.4</v>
      </c>
      <c r="E8" s="528">
        <v>2687.6</v>
      </c>
      <c r="F8" s="528">
        <v>753.9</v>
      </c>
      <c r="G8" s="551" t="s">
        <v>836</v>
      </c>
      <c r="H8" s="528">
        <f t="shared" ref="H8:H14" si="0">C8+D8+E8+F8</f>
        <v>10630</v>
      </c>
      <c r="I8" s="56"/>
      <c r="J8" s="56"/>
    </row>
    <row r="9" spans="1:10" ht="9.9499999999999993" hidden="1" customHeight="1">
      <c r="A9" s="11" t="s">
        <v>1196</v>
      </c>
      <c r="B9" s="11"/>
      <c r="C9" s="36">
        <v>7123.3</v>
      </c>
      <c r="D9" s="36">
        <v>776</v>
      </c>
      <c r="E9" s="36">
        <v>2273.6</v>
      </c>
      <c r="F9" s="36">
        <v>830.1</v>
      </c>
      <c r="G9" s="77" t="s">
        <v>836</v>
      </c>
      <c r="H9" s="36">
        <f t="shared" si="0"/>
        <v>11003</v>
      </c>
      <c r="I9" s="56"/>
      <c r="J9" s="56"/>
    </row>
    <row r="10" spans="1:10" ht="9.9499999999999993" hidden="1" customHeight="1">
      <c r="A10" s="543" t="s">
        <v>1197</v>
      </c>
      <c r="B10" s="543"/>
      <c r="C10" s="528">
        <v>7574.6</v>
      </c>
      <c r="D10" s="528">
        <v>880.1</v>
      </c>
      <c r="E10" s="528">
        <v>3017.8</v>
      </c>
      <c r="F10" s="528">
        <v>922</v>
      </c>
      <c r="G10" s="551" t="s">
        <v>836</v>
      </c>
      <c r="H10" s="528">
        <f t="shared" si="0"/>
        <v>12394.5</v>
      </c>
      <c r="I10" s="56"/>
      <c r="J10" s="56"/>
    </row>
    <row r="11" spans="1:10" ht="9.9499999999999993" customHeight="1">
      <c r="A11" s="11" t="s">
        <v>1198</v>
      </c>
      <c r="B11" s="11"/>
      <c r="C11" s="36">
        <v>8153.3</v>
      </c>
      <c r="D11" s="36">
        <v>923.3</v>
      </c>
      <c r="E11" s="36">
        <v>3655.9</v>
      </c>
      <c r="F11" s="36">
        <v>885.1</v>
      </c>
      <c r="G11" s="77" t="s">
        <v>836</v>
      </c>
      <c r="H11" s="36">
        <f t="shared" si="0"/>
        <v>13617.6</v>
      </c>
      <c r="I11" s="56"/>
      <c r="J11" s="56"/>
    </row>
    <row r="12" spans="1:10" ht="9.9499999999999993" customHeight="1">
      <c r="A12" s="543" t="s">
        <v>1199</v>
      </c>
      <c r="B12" s="543"/>
      <c r="C12" s="528">
        <v>8686.6</v>
      </c>
      <c r="D12" s="528">
        <v>1026.9000000000001</v>
      </c>
      <c r="E12" s="528">
        <v>3812.5</v>
      </c>
      <c r="F12" s="528">
        <v>1216.7</v>
      </c>
      <c r="G12" s="551" t="s">
        <v>836</v>
      </c>
      <c r="H12" s="528">
        <f t="shared" si="0"/>
        <v>14742.7</v>
      </c>
      <c r="I12" s="56"/>
      <c r="J12" s="56"/>
    </row>
    <row r="13" spans="1:10" ht="9.9499999999999993" customHeight="1">
      <c r="A13" s="11" t="s">
        <v>1200</v>
      </c>
      <c r="B13" s="11"/>
      <c r="C13" s="36">
        <v>10176</v>
      </c>
      <c r="D13" s="36">
        <v>1088.4000000000001</v>
      </c>
      <c r="E13" s="36">
        <v>4183.3999999999996</v>
      </c>
      <c r="F13" s="36">
        <v>1616.3</v>
      </c>
      <c r="G13" s="77" t="s">
        <v>836</v>
      </c>
      <c r="H13" s="36">
        <f t="shared" si="0"/>
        <v>17064.099999999999</v>
      </c>
      <c r="I13" s="264"/>
      <c r="J13" s="56"/>
    </row>
    <row r="14" spans="1:10" ht="9.9499999999999993" customHeight="1">
      <c r="A14" s="543" t="s">
        <v>1201</v>
      </c>
      <c r="B14" s="543"/>
      <c r="C14" s="528">
        <v>11478.3</v>
      </c>
      <c r="D14" s="528">
        <v>1354.5</v>
      </c>
      <c r="E14" s="528">
        <v>3385.7</v>
      </c>
      <c r="F14" s="528">
        <v>2708.9</v>
      </c>
      <c r="G14" s="551" t="s">
        <v>836</v>
      </c>
      <c r="H14" s="528">
        <f t="shared" si="0"/>
        <v>18927.400000000001</v>
      </c>
      <c r="I14" s="264"/>
      <c r="J14" s="56"/>
    </row>
    <row r="15" spans="1:10" ht="9.9499999999999993" customHeight="1">
      <c r="A15" s="11" t="s">
        <v>1202</v>
      </c>
      <c r="B15" s="11"/>
      <c r="C15" s="36">
        <v>12531.4</v>
      </c>
      <c r="D15" s="36">
        <v>1348.8</v>
      </c>
      <c r="E15" s="36">
        <v>6683.5</v>
      </c>
      <c r="F15" s="36">
        <v>2960.6</v>
      </c>
      <c r="G15" s="36">
        <v>9.3000000000000007</v>
      </c>
      <c r="H15" s="36">
        <f>C15+D15+E15+G15</f>
        <v>20572.999999999996</v>
      </c>
      <c r="I15" s="56"/>
      <c r="J15" s="56"/>
    </row>
    <row r="16" spans="1:10" ht="9.9499999999999993" customHeight="1">
      <c r="A16" s="543" t="s">
        <v>1203</v>
      </c>
      <c r="B16" s="543"/>
      <c r="C16" s="528">
        <v>13901.8</v>
      </c>
      <c r="D16" s="528">
        <v>1440.5</v>
      </c>
      <c r="E16" s="528">
        <v>6085.5</v>
      </c>
      <c r="F16" s="528">
        <v>2871.6</v>
      </c>
      <c r="G16" s="528">
        <v>13.7</v>
      </c>
      <c r="H16" s="528">
        <f t="shared" ref="H16:H21" si="1">C16+D16+E16+G16</f>
        <v>21441.5</v>
      </c>
      <c r="I16" s="56"/>
      <c r="J16" s="56"/>
    </row>
    <row r="17" spans="1:10" ht="9.9499999999999993" customHeight="1">
      <c r="A17" s="11" t="s">
        <v>1204</v>
      </c>
      <c r="B17" s="11"/>
      <c r="C17" s="36">
        <v>15811</v>
      </c>
      <c r="D17" s="36">
        <v>1476.4</v>
      </c>
      <c r="E17" s="36">
        <v>6558.6</v>
      </c>
      <c r="F17" s="36">
        <v>2333.8000000000002</v>
      </c>
      <c r="G17" s="36">
        <f>76.6-52.2</f>
        <v>24.399999999999991</v>
      </c>
      <c r="H17" s="36">
        <f t="shared" si="1"/>
        <v>23870.400000000001</v>
      </c>
      <c r="I17" s="56"/>
      <c r="J17" s="56"/>
    </row>
    <row r="18" spans="1:10" ht="9.9499999999999993" customHeight="1">
      <c r="A18" s="543" t="s">
        <v>1205</v>
      </c>
      <c r="B18" s="543"/>
      <c r="C18" s="528">
        <v>18518.099999999999</v>
      </c>
      <c r="D18" s="528">
        <v>1809.8</v>
      </c>
      <c r="E18" s="528">
        <v>7036.4</v>
      </c>
      <c r="F18" s="528">
        <v>2004.9</v>
      </c>
      <c r="G18" s="528">
        <f>178.1-142</f>
        <v>36.099999999999994</v>
      </c>
      <c r="H18" s="528">
        <f t="shared" si="1"/>
        <v>27400.399999999994</v>
      </c>
      <c r="I18" s="56"/>
      <c r="J18" s="56"/>
    </row>
    <row r="19" spans="1:10" ht="9.9499999999999993" customHeight="1">
      <c r="A19" s="11" t="s">
        <v>1210</v>
      </c>
      <c r="B19" s="11"/>
      <c r="C19" s="36">
        <v>22862.1</v>
      </c>
      <c r="D19" s="36">
        <v>2032</v>
      </c>
      <c r="E19" s="36">
        <v>9010</v>
      </c>
      <c r="F19" s="36">
        <v>3426.6</v>
      </c>
      <c r="G19" s="36">
        <f>532.5-481.9</f>
        <v>50.600000000000023</v>
      </c>
      <c r="H19" s="36">
        <f t="shared" si="1"/>
        <v>33954.699999999997</v>
      </c>
      <c r="I19" s="56"/>
      <c r="J19" s="56"/>
    </row>
    <row r="20" spans="1:10" ht="9.9499999999999993" customHeight="1">
      <c r="A20" s="543" t="s">
        <v>1219</v>
      </c>
      <c r="B20" s="543"/>
      <c r="C20" s="528">
        <v>26643.8</v>
      </c>
      <c r="D20" s="528">
        <v>2143.6</v>
      </c>
      <c r="E20" s="528">
        <v>10573.6</v>
      </c>
      <c r="F20" s="528">
        <v>4650.3999999999996</v>
      </c>
      <c r="G20" s="528">
        <f>543.6-481.9</f>
        <v>61.700000000000045</v>
      </c>
      <c r="H20" s="528">
        <f t="shared" si="1"/>
        <v>39422.699999999997</v>
      </c>
      <c r="I20" s="56"/>
      <c r="J20" s="56"/>
    </row>
    <row r="21" spans="1:10" ht="9.9499999999999993" customHeight="1">
      <c r="A21" s="11" t="s">
        <v>916</v>
      </c>
      <c r="B21" s="11"/>
      <c r="C21" s="36">
        <v>32689.9</v>
      </c>
      <c r="D21" s="36">
        <v>2958.6</v>
      </c>
      <c r="E21" s="36">
        <v>11806.7</v>
      </c>
      <c r="F21" s="36">
        <v>5227.5</v>
      </c>
      <c r="G21" s="36">
        <v>106.9</v>
      </c>
      <c r="H21" s="36">
        <f t="shared" si="1"/>
        <v>47562.1</v>
      </c>
      <c r="I21" s="56"/>
      <c r="J21" s="56"/>
    </row>
    <row r="22" spans="1:10" ht="9.9499999999999993" customHeight="1">
      <c r="A22" s="543" t="s">
        <v>230</v>
      </c>
      <c r="B22" s="543"/>
      <c r="C22" s="528">
        <v>36049.199999999997</v>
      </c>
      <c r="D22" s="528">
        <v>3399.5</v>
      </c>
      <c r="E22" s="528">
        <v>23159.5</v>
      </c>
      <c r="F22" s="528">
        <v>6640.7</v>
      </c>
      <c r="G22" s="528">
        <v>141.19999999999999</v>
      </c>
      <c r="H22" s="528">
        <f>C22+D22+E22+G22</f>
        <v>62749.399999999994</v>
      </c>
      <c r="I22" s="56"/>
      <c r="J22" s="56"/>
    </row>
    <row r="23" spans="1:10" ht="9.9499999999999993" customHeight="1">
      <c r="A23" s="11" t="s">
        <v>220</v>
      </c>
      <c r="B23" s="11"/>
      <c r="C23" s="36">
        <v>46157.1</v>
      </c>
      <c r="D23" s="36">
        <v>4308.3</v>
      </c>
      <c r="E23" s="36">
        <v>23468</v>
      </c>
      <c r="F23" s="36">
        <v>6367.5</v>
      </c>
      <c r="G23" s="36">
        <v>209.4</v>
      </c>
      <c r="H23" s="36">
        <f>C23+D23+E23+G23</f>
        <v>74142.799999999988</v>
      </c>
      <c r="I23" s="56"/>
      <c r="J23" s="56"/>
    </row>
    <row r="24" spans="1:10" ht="9.9499999999999993" customHeight="1">
      <c r="A24" s="543" t="s">
        <v>489</v>
      </c>
      <c r="B24" s="543"/>
      <c r="C24" s="528">
        <v>54795.1</v>
      </c>
      <c r="D24" s="528">
        <v>5731.8</v>
      </c>
      <c r="E24" s="528">
        <v>29007.7</v>
      </c>
      <c r="F24" s="528">
        <v>7766.5</v>
      </c>
      <c r="G24" s="528">
        <v>199.8</v>
      </c>
      <c r="H24" s="528">
        <v>89734.400000000009</v>
      </c>
      <c r="I24" s="56"/>
      <c r="J24" s="56"/>
    </row>
    <row r="25" spans="1:10" s="317" customFormat="1" ht="9.9499999999999993" customHeight="1">
      <c r="A25" s="315" t="s">
        <v>1580</v>
      </c>
      <c r="B25" s="315"/>
      <c r="C25" s="88">
        <v>58417.1</v>
      </c>
      <c r="D25" s="88">
        <v>6479.4</v>
      </c>
      <c r="E25" s="88">
        <v>32662.3</v>
      </c>
      <c r="F25" s="88">
        <v>10289.9</v>
      </c>
      <c r="G25" s="88">
        <v>243.9</v>
      </c>
      <c r="H25" s="88">
        <v>97802.7</v>
      </c>
      <c r="I25" s="315"/>
      <c r="J25" s="56"/>
    </row>
    <row r="26" spans="1:10" s="317" customFormat="1" ht="9.9499999999999993" customHeight="1">
      <c r="A26" s="519" t="s">
        <v>1809</v>
      </c>
      <c r="B26" s="543"/>
      <c r="C26" s="528">
        <v>67552.899999999994</v>
      </c>
      <c r="D26" s="528">
        <v>7819.4</v>
      </c>
      <c r="E26" s="528">
        <v>36803.4</v>
      </c>
      <c r="F26" s="528">
        <v>8422.6</v>
      </c>
      <c r="G26" s="528">
        <v>313.70000000000005</v>
      </c>
      <c r="H26" s="528">
        <v>112489.39999999998</v>
      </c>
      <c r="I26" s="315"/>
      <c r="J26" s="56"/>
    </row>
    <row r="27" spans="1:10" s="1168" customFormat="1" ht="9.9499999999999993" customHeight="1">
      <c r="A27" s="1170" t="s">
        <v>2226</v>
      </c>
      <c r="B27" s="1169"/>
      <c r="C27" s="855">
        <f t="shared" ref="C27:H27" si="2">C39</f>
        <v>76908.399999999994</v>
      </c>
      <c r="D27" s="855">
        <f t="shared" si="2"/>
        <v>8576.7999999999993</v>
      </c>
      <c r="E27" s="855">
        <f t="shared" si="2"/>
        <v>43997.7</v>
      </c>
      <c r="F27" s="855">
        <f t="shared" si="2"/>
        <v>7480.2</v>
      </c>
      <c r="G27" s="855">
        <f t="shared" si="2"/>
        <v>392.4</v>
      </c>
      <c r="H27" s="855">
        <f t="shared" si="2"/>
        <v>129875.29999999999</v>
      </c>
      <c r="I27" s="883"/>
      <c r="J27" s="1165"/>
    </row>
    <row r="28" spans="1:10" s="1168" customFormat="1" ht="9.75" hidden="1" customHeight="1">
      <c r="A28" s="533" t="s">
        <v>1211</v>
      </c>
      <c r="B28" s="1167"/>
      <c r="C28" s="856">
        <v>72560.899999999994</v>
      </c>
      <c r="D28" s="856">
        <v>8590.4</v>
      </c>
      <c r="E28" s="856">
        <v>36410.9</v>
      </c>
      <c r="F28" s="856">
        <v>8134.5</v>
      </c>
      <c r="G28" s="856">
        <v>307.8</v>
      </c>
      <c r="H28" s="902">
        <f t="shared" ref="H28:H41" si="3">C28+D28+E28+G28</f>
        <v>117869.99999999999</v>
      </c>
      <c r="I28" s="883"/>
      <c r="J28" s="1165"/>
    </row>
    <row r="29" spans="1:10" s="1168" customFormat="1" ht="9.75" hidden="1" customHeight="1">
      <c r="A29" s="956" t="s">
        <v>1212</v>
      </c>
      <c r="B29" s="1169"/>
      <c r="C29" s="854">
        <v>71467.7</v>
      </c>
      <c r="D29" s="854">
        <v>7339.1</v>
      </c>
      <c r="E29" s="854">
        <v>38193.800000000003</v>
      </c>
      <c r="F29" s="854">
        <v>8570.9</v>
      </c>
      <c r="G29" s="1168">
        <v>349.6</v>
      </c>
      <c r="H29" s="883">
        <f t="shared" si="3"/>
        <v>117350.20000000001</v>
      </c>
      <c r="I29" s="883"/>
      <c r="J29" s="1165"/>
    </row>
    <row r="30" spans="1:10" s="1168" customFormat="1" ht="9.75" hidden="1" customHeight="1">
      <c r="A30" s="533" t="s">
        <v>1206</v>
      </c>
      <c r="B30" s="1167"/>
      <c r="C30" s="856">
        <v>69156.899999999994</v>
      </c>
      <c r="D30" s="856">
        <v>7770.5</v>
      </c>
      <c r="E30" s="856">
        <v>36742.9</v>
      </c>
      <c r="F30" s="856">
        <v>7944.6</v>
      </c>
      <c r="G30" s="850">
        <f>4.2+330.3</f>
        <v>334.5</v>
      </c>
      <c r="H30" s="902">
        <f t="shared" si="3"/>
        <v>114004.79999999999</v>
      </c>
      <c r="I30" s="883"/>
      <c r="J30" s="1165"/>
    </row>
    <row r="31" spans="1:10" s="1168" customFormat="1" ht="9.75" hidden="1" customHeight="1">
      <c r="A31" s="956" t="s">
        <v>1213</v>
      </c>
      <c r="B31" s="1169"/>
      <c r="C31" s="854">
        <v>75440.899999999994</v>
      </c>
      <c r="D31" s="854">
        <v>7659.3</v>
      </c>
      <c r="E31" s="854">
        <v>37913.800000000003</v>
      </c>
      <c r="F31" s="854">
        <v>8589.6</v>
      </c>
      <c r="G31" s="1168">
        <f>4.1+331.5</f>
        <v>335.6</v>
      </c>
      <c r="H31" s="883">
        <f t="shared" si="3"/>
        <v>121349.6</v>
      </c>
      <c r="I31" s="883"/>
      <c r="J31" s="1165"/>
    </row>
    <row r="32" spans="1:10" s="1168" customFormat="1" ht="9.75" hidden="1" customHeight="1">
      <c r="A32" s="533" t="s">
        <v>1214</v>
      </c>
      <c r="B32" s="1167"/>
      <c r="C32" s="856">
        <v>71867.100000000006</v>
      </c>
      <c r="D32" s="856">
        <v>8411.7999999999993</v>
      </c>
      <c r="E32" s="856">
        <v>39949.1</v>
      </c>
      <c r="F32" s="856">
        <v>6609.6</v>
      </c>
      <c r="G32" s="850">
        <f>3.1+333.6</f>
        <v>336.70000000000005</v>
      </c>
      <c r="H32" s="902">
        <f t="shared" si="3"/>
        <v>120564.7</v>
      </c>
      <c r="I32" s="883"/>
      <c r="J32" s="1171"/>
    </row>
    <row r="33" spans="1:10" s="1168" customFormat="1" ht="9.75" hidden="1" customHeight="1">
      <c r="A33" s="956" t="s">
        <v>1207</v>
      </c>
      <c r="B33" s="1169"/>
      <c r="C33" s="854">
        <v>72883.7</v>
      </c>
      <c r="D33" s="854">
        <v>9787.2000000000007</v>
      </c>
      <c r="E33" s="854">
        <v>38164.5</v>
      </c>
      <c r="F33" s="854">
        <v>6825.2</v>
      </c>
      <c r="G33" s="1168">
        <v>386.3</v>
      </c>
      <c r="H33" s="883">
        <f t="shared" si="3"/>
        <v>121221.7</v>
      </c>
      <c r="I33" s="883"/>
      <c r="J33" s="1166"/>
    </row>
    <row r="34" spans="1:10" s="1168" customFormat="1" ht="9.75" hidden="1" customHeight="1">
      <c r="A34" s="533" t="s">
        <v>1215</v>
      </c>
      <c r="B34" s="1167"/>
      <c r="C34" s="856">
        <v>73767.399999999994</v>
      </c>
      <c r="D34" s="856">
        <v>7216.4</v>
      </c>
      <c r="E34" s="856">
        <v>40237.699999999997</v>
      </c>
      <c r="F34" s="856">
        <v>7133.3</v>
      </c>
      <c r="G34" s="856">
        <v>356.5</v>
      </c>
      <c r="H34" s="902">
        <f t="shared" si="3"/>
        <v>121577.99999999999</v>
      </c>
      <c r="I34" s="883"/>
      <c r="J34" s="88"/>
    </row>
    <row r="35" spans="1:10" s="1168" customFormat="1" ht="9.75" hidden="1" customHeight="1">
      <c r="A35" s="956" t="s">
        <v>1216</v>
      </c>
      <c r="B35" s="1169"/>
      <c r="C35" s="854">
        <v>73378.2</v>
      </c>
      <c r="D35" s="854">
        <v>7106.5</v>
      </c>
      <c r="E35" s="854">
        <v>40605.699999999997</v>
      </c>
      <c r="F35" s="854">
        <v>7474.6</v>
      </c>
      <c r="G35" s="854">
        <v>348.2</v>
      </c>
      <c r="H35" s="883">
        <f t="shared" si="3"/>
        <v>121438.59999999999</v>
      </c>
      <c r="I35" s="883"/>
      <c r="J35" s="88"/>
    </row>
    <row r="36" spans="1:10" s="1168" customFormat="1" ht="9.75" hidden="1" customHeight="1">
      <c r="A36" s="533" t="s">
        <v>1208</v>
      </c>
      <c r="B36" s="1167"/>
      <c r="C36" s="856">
        <v>72896.5</v>
      </c>
      <c r="D36" s="856">
        <v>7939.6</v>
      </c>
      <c r="E36" s="856">
        <v>40476.9</v>
      </c>
      <c r="F36" s="856">
        <v>7253.1</v>
      </c>
      <c r="G36" s="856">
        <v>399.4</v>
      </c>
      <c r="H36" s="902">
        <f t="shared" si="3"/>
        <v>121712.4</v>
      </c>
      <c r="I36" s="883"/>
      <c r="J36" s="88"/>
    </row>
    <row r="37" spans="1:10" s="1168" customFormat="1" ht="9.75" hidden="1" customHeight="1">
      <c r="A37" s="956" t="s">
        <v>1217</v>
      </c>
      <c r="B37" s="1169"/>
      <c r="C37" s="846">
        <v>73918.2</v>
      </c>
      <c r="D37" s="846">
        <v>6606</v>
      </c>
      <c r="E37" s="846">
        <v>41453.1</v>
      </c>
      <c r="F37" s="846">
        <v>6400.1</v>
      </c>
      <c r="G37" s="846">
        <v>386</v>
      </c>
      <c r="H37" s="846">
        <f t="shared" si="3"/>
        <v>122363.29999999999</v>
      </c>
      <c r="I37" s="883"/>
      <c r="J37" s="88"/>
    </row>
    <row r="38" spans="1:10" s="1168" customFormat="1" ht="9.75" hidden="1" customHeight="1">
      <c r="A38" s="533" t="s">
        <v>1218</v>
      </c>
      <c r="B38" s="1167"/>
      <c r="C38" s="847">
        <v>76306.399999999994</v>
      </c>
      <c r="D38" s="847">
        <v>7060.4</v>
      </c>
      <c r="E38" s="847">
        <v>40099.800000000003</v>
      </c>
      <c r="F38" s="847">
        <v>6637</v>
      </c>
      <c r="G38" s="847">
        <v>386</v>
      </c>
      <c r="H38" s="847">
        <f t="shared" si="3"/>
        <v>123852.59999999999</v>
      </c>
      <c r="I38" s="883"/>
      <c r="J38" s="88"/>
    </row>
    <row r="39" spans="1:10" s="1168" customFormat="1" ht="9.75" hidden="1" customHeight="1">
      <c r="A39" s="956" t="s">
        <v>1209</v>
      </c>
      <c r="B39" s="1169"/>
      <c r="C39" s="846">
        <v>76908.399999999994</v>
      </c>
      <c r="D39" s="846">
        <v>8576.7999999999993</v>
      </c>
      <c r="E39" s="846">
        <v>43997.7</v>
      </c>
      <c r="F39" s="846">
        <v>7480.2</v>
      </c>
      <c r="G39" s="846">
        <v>392.4</v>
      </c>
      <c r="H39" s="846">
        <f t="shared" si="3"/>
        <v>129875.29999999999</v>
      </c>
      <c r="I39" s="883"/>
      <c r="J39" s="88"/>
    </row>
    <row r="40" spans="1:10" s="1168" customFormat="1" ht="9.75" customHeight="1">
      <c r="A40" s="1175" t="s">
        <v>2376</v>
      </c>
      <c r="B40" s="1167"/>
      <c r="C40" s="1069">
        <f t="shared" ref="C40:H40" si="4">C52</f>
        <v>87940.800000000003</v>
      </c>
      <c r="D40" s="1069">
        <f t="shared" si="4"/>
        <v>10213.1</v>
      </c>
      <c r="E40" s="1069">
        <f t="shared" si="4"/>
        <v>49838.9</v>
      </c>
      <c r="F40" s="1069">
        <f t="shared" si="4"/>
        <v>7889.3</v>
      </c>
      <c r="G40" s="1069">
        <f t="shared" si="4"/>
        <v>489.7</v>
      </c>
      <c r="H40" s="1069">
        <f t="shared" si="4"/>
        <v>148482.50000000003</v>
      </c>
      <c r="I40" s="883"/>
      <c r="J40" s="88"/>
    </row>
    <row r="41" spans="1:10" s="1168" customFormat="1" ht="9.75" customHeight="1">
      <c r="A41" s="956" t="s">
        <v>1211</v>
      </c>
      <c r="B41" s="1169"/>
      <c r="C41" s="846">
        <v>89887.7</v>
      </c>
      <c r="D41" s="846">
        <v>9761.5</v>
      </c>
      <c r="E41" s="846">
        <v>45461.4</v>
      </c>
      <c r="F41" s="846">
        <v>8288.2000000000007</v>
      </c>
      <c r="G41" s="846">
        <v>408.8</v>
      </c>
      <c r="H41" s="846">
        <f t="shared" si="3"/>
        <v>145519.4</v>
      </c>
      <c r="I41" s="883"/>
      <c r="J41" s="88"/>
    </row>
    <row r="42" spans="1:10" s="1168" customFormat="1" ht="9.75" customHeight="1">
      <c r="A42" s="533" t="s">
        <v>1212</v>
      </c>
      <c r="B42" s="1167"/>
      <c r="C42" s="847">
        <v>79643.8</v>
      </c>
      <c r="D42" s="847">
        <v>8868.7999999999993</v>
      </c>
      <c r="E42" s="847">
        <v>47915.199999999997</v>
      </c>
      <c r="F42" s="847">
        <v>7484.3</v>
      </c>
      <c r="G42" s="847">
        <v>408.8</v>
      </c>
      <c r="H42" s="847">
        <f t="shared" ref="H42:H52" si="5">C42+D42+E42+G42</f>
        <v>136836.59999999998</v>
      </c>
      <c r="I42" s="883"/>
      <c r="J42" s="88"/>
    </row>
    <row r="43" spans="1:10" s="1168" customFormat="1" ht="9.75" customHeight="1">
      <c r="A43" s="956" t="s">
        <v>1206</v>
      </c>
      <c r="B43" s="1169"/>
      <c r="C43" s="846">
        <v>87298.8</v>
      </c>
      <c r="D43" s="846">
        <v>9775.4</v>
      </c>
      <c r="E43" s="846">
        <v>46118.1</v>
      </c>
      <c r="F43" s="846">
        <v>8091.9</v>
      </c>
      <c r="G43" s="846">
        <v>440.2</v>
      </c>
      <c r="H43" s="846">
        <f t="shared" si="5"/>
        <v>143632.5</v>
      </c>
      <c r="I43" s="883"/>
      <c r="J43" s="88"/>
    </row>
    <row r="44" spans="1:10" s="1168" customFormat="1" ht="9.75" customHeight="1">
      <c r="A44" s="533" t="s">
        <v>1213</v>
      </c>
      <c r="B44" s="1167"/>
      <c r="C44" s="847">
        <v>83108.7</v>
      </c>
      <c r="D44" s="847">
        <v>8679.5</v>
      </c>
      <c r="E44" s="847">
        <v>47848.7</v>
      </c>
      <c r="F44" s="847">
        <v>6902.9</v>
      </c>
      <c r="G44" s="847">
        <v>426.9</v>
      </c>
      <c r="H44" s="847">
        <f t="shared" si="5"/>
        <v>140063.79999999999</v>
      </c>
      <c r="I44" s="883"/>
      <c r="J44" s="88"/>
    </row>
    <row r="45" spans="1:10" s="1168" customFormat="1" ht="9.75" customHeight="1">
      <c r="A45" s="956" t="s">
        <v>1214</v>
      </c>
      <c r="B45" s="1169"/>
      <c r="C45" s="846">
        <v>80908.899999999994</v>
      </c>
      <c r="D45" s="846">
        <v>8875.7999999999993</v>
      </c>
      <c r="E45" s="846">
        <v>47593.2</v>
      </c>
      <c r="F45" s="846">
        <v>6476.7</v>
      </c>
      <c r="G45" s="846">
        <v>440.5</v>
      </c>
      <c r="H45" s="846">
        <f t="shared" si="5"/>
        <v>137818.4</v>
      </c>
      <c r="I45" s="883"/>
      <c r="J45" s="88"/>
    </row>
    <row r="46" spans="1:10" s="1168" customFormat="1" ht="9.75" customHeight="1">
      <c r="A46" s="533" t="s">
        <v>1207</v>
      </c>
      <c r="B46" s="1167"/>
      <c r="C46" s="847">
        <v>81950.2</v>
      </c>
      <c r="D46" s="847">
        <v>8588.1</v>
      </c>
      <c r="E46" s="847">
        <v>48159.6</v>
      </c>
      <c r="F46" s="847">
        <v>7557</v>
      </c>
      <c r="G46" s="847">
        <v>446.5</v>
      </c>
      <c r="H46" s="847">
        <f t="shared" si="5"/>
        <v>139144.4</v>
      </c>
      <c r="I46" s="883"/>
      <c r="J46" s="88"/>
    </row>
    <row r="47" spans="1:10" s="1168" customFormat="1" ht="9.75" customHeight="1">
      <c r="A47" s="956" t="s">
        <v>1215</v>
      </c>
      <c r="B47" s="1169"/>
      <c r="C47" s="846">
        <v>82723.8</v>
      </c>
      <c r="D47" s="846">
        <v>9058.9</v>
      </c>
      <c r="E47" s="846">
        <v>47391.1</v>
      </c>
      <c r="F47" s="846">
        <v>7982.8</v>
      </c>
      <c r="G47" s="846">
        <v>459</v>
      </c>
      <c r="H47" s="846">
        <f t="shared" si="5"/>
        <v>139632.79999999999</v>
      </c>
      <c r="I47" s="883"/>
      <c r="J47" s="88"/>
    </row>
    <row r="48" spans="1:10" s="1168" customFormat="1" ht="9.75" customHeight="1">
      <c r="A48" s="533" t="s">
        <v>1216</v>
      </c>
      <c r="B48" s="1167"/>
      <c r="C48" s="847">
        <v>83067.7</v>
      </c>
      <c r="D48" s="847">
        <v>9395.2999999999993</v>
      </c>
      <c r="E48" s="847">
        <v>47091.7</v>
      </c>
      <c r="F48" s="847">
        <v>9424.7999999999993</v>
      </c>
      <c r="G48" s="847">
        <v>457.5</v>
      </c>
      <c r="H48" s="847">
        <f t="shared" si="5"/>
        <v>140012.20000000001</v>
      </c>
      <c r="I48" s="883"/>
      <c r="J48" s="88"/>
    </row>
    <row r="49" spans="1:10" s="825" customFormat="1" ht="9.75" customHeight="1">
      <c r="A49" s="431" t="s">
        <v>1208</v>
      </c>
      <c r="B49" s="1179"/>
      <c r="C49" s="852">
        <v>82125.3</v>
      </c>
      <c r="D49" s="852">
        <v>9769.5</v>
      </c>
      <c r="E49" s="852">
        <v>47462.8</v>
      </c>
      <c r="F49" s="852">
        <v>8115</v>
      </c>
      <c r="G49" s="852">
        <v>494.2</v>
      </c>
      <c r="H49" s="852">
        <f t="shared" si="5"/>
        <v>139851.80000000002</v>
      </c>
      <c r="I49" s="824"/>
      <c r="J49" s="433"/>
    </row>
    <row r="50" spans="1:10" s="825" customFormat="1" ht="9.75" customHeight="1">
      <c r="A50" s="519" t="s">
        <v>1217</v>
      </c>
      <c r="B50" s="1216"/>
      <c r="C50" s="845">
        <v>82879.8</v>
      </c>
      <c r="D50" s="845">
        <v>8173.6</v>
      </c>
      <c r="E50" s="845">
        <v>47557.599999999999</v>
      </c>
      <c r="F50" s="845">
        <v>8266</v>
      </c>
      <c r="G50" s="845">
        <v>441.9</v>
      </c>
      <c r="H50" s="845">
        <f t="shared" si="5"/>
        <v>139052.9</v>
      </c>
      <c r="I50" s="824"/>
      <c r="J50" s="433"/>
    </row>
    <row r="51" spans="1:10" s="825" customFormat="1" ht="9.75" customHeight="1">
      <c r="A51" s="431" t="s">
        <v>1218</v>
      </c>
      <c r="B51" s="1179"/>
      <c r="C51" s="852">
        <v>83775.8</v>
      </c>
      <c r="D51" s="852">
        <v>9601.7000000000007</v>
      </c>
      <c r="E51" s="852">
        <v>49149.1</v>
      </c>
      <c r="F51" s="852">
        <v>6717.1</v>
      </c>
      <c r="G51" s="852">
        <v>457.4</v>
      </c>
      <c r="H51" s="852">
        <f t="shared" si="5"/>
        <v>142984</v>
      </c>
      <c r="I51" s="824"/>
      <c r="J51" s="433"/>
    </row>
    <row r="52" spans="1:10" s="825" customFormat="1" ht="11.25" customHeight="1">
      <c r="A52" s="519" t="s">
        <v>1209</v>
      </c>
      <c r="B52" s="1216"/>
      <c r="C52" s="845">
        <v>87940.800000000003</v>
      </c>
      <c r="D52" s="845">
        <v>10213.1</v>
      </c>
      <c r="E52" s="845">
        <v>49838.9</v>
      </c>
      <c r="F52" s="845">
        <v>7889.3</v>
      </c>
      <c r="G52" s="845">
        <v>489.7</v>
      </c>
      <c r="H52" s="845">
        <f t="shared" si="5"/>
        <v>148482.50000000003</v>
      </c>
      <c r="I52" s="824"/>
      <c r="J52" s="433"/>
    </row>
    <row r="53" spans="1:10" s="825" customFormat="1" ht="12" customHeight="1">
      <c r="A53" s="931" t="s">
        <v>2608</v>
      </c>
      <c r="B53" s="1179"/>
      <c r="C53" s="1061">
        <f t="shared" ref="C53:H53" si="6">C66</f>
        <v>122074.5</v>
      </c>
      <c r="D53" s="1061">
        <f t="shared" si="6"/>
        <v>10230.700000000001</v>
      </c>
      <c r="E53" s="1061">
        <f t="shared" si="6"/>
        <v>60299</v>
      </c>
      <c r="F53" s="1061">
        <f t="shared" si="6"/>
        <v>7133.4</v>
      </c>
      <c r="G53" s="1061">
        <f t="shared" si="6"/>
        <v>597.1</v>
      </c>
      <c r="H53" s="1061">
        <f t="shared" si="6"/>
        <v>193201.30000000002</v>
      </c>
      <c r="I53" s="824"/>
      <c r="J53" s="433"/>
    </row>
    <row r="54" spans="1:10" s="825" customFormat="1" ht="10.35" customHeight="1">
      <c r="A54" s="519" t="s">
        <v>1211</v>
      </c>
      <c r="B54" s="1216"/>
      <c r="C54" s="845">
        <v>93901.4</v>
      </c>
      <c r="D54" s="845">
        <v>9408.7000000000007</v>
      </c>
      <c r="E54" s="845">
        <v>51839.3</v>
      </c>
      <c r="F54" s="845">
        <v>9329.4</v>
      </c>
      <c r="G54" s="845">
        <v>484.6</v>
      </c>
      <c r="H54" s="845">
        <f t="shared" ref="H54:H73" si="7">C54+D54+E54+G54</f>
        <v>155634</v>
      </c>
      <c r="I54" s="824"/>
      <c r="J54" s="433"/>
    </row>
    <row r="55" spans="1:10" s="825" customFormat="1" ht="10.35" customHeight="1">
      <c r="A55" s="431" t="s">
        <v>1212</v>
      </c>
      <c r="B55" s="1179"/>
      <c r="C55" s="852">
        <v>89250.3</v>
      </c>
      <c r="D55" s="852">
        <v>9355.4</v>
      </c>
      <c r="E55" s="852">
        <v>52730.6</v>
      </c>
      <c r="F55" s="852">
        <v>8179.5</v>
      </c>
      <c r="G55" s="852">
        <v>497.8</v>
      </c>
      <c r="H55" s="852">
        <f t="shared" si="7"/>
        <v>151834.09999999998</v>
      </c>
      <c r="I55" s="824"/>
      <c r="J55" s="433"/>
    </row>
    <row r="56" spans="1:10" s="825" customFormat="1" ht="12.75" customHeight="1">
      <c r="A56" s="519" t="s">
        <v>1206</v>
      </c>
      <c r="B56" s="1216"/>
      <c r="C56" s="845">
        <v>102255.2</v>
      </c>
      <c r="D56" s="845">
        <v>10148.299999999999</v>
      </c>
      <c r="E56" s="845">
        <v>49754.2</v>
      </c>
      <c r="F56" s="845">
        <v>8712.2000000000007</v>
      </c>
      <c r="G56" s="845">
        <v>498</v>
      </c>
      <c r="H56" s="845">
        <f t="shared" si="7"/>
        <v>162655.70000000001</v>
      </c>
      <c r="I56" s="824"/>
      <c r="J56" s="433"/>
    </row>
    <row r="57" spans="1:10" s="825" customFormat="1" ht="10.5" customHeight="1">
      <c r="A57" s="956" t="s">
        <v>1213</v>
      </c>
      <c r="B57" s="1179"/>
      <c r="C57" s="852">
        <v>93888.5</v>
      </c>
      <c r="D57" s="852">
        <v>8578</v>
      </c>
      <c r="E57" s="852">
        <v>61024.1</v>
      </c>
      <c r="F57" s="852">
        <v>6848.3</v>
      </c>
      <c r="G57" s="852">
        <v>509.1</v>
      </c>
      <c r="H57" s="852">
        <f t="shared" si="7"/>
        <v>163999.70000000001</v>
      </c>
      <c r="I57" s="824"/>
      <c r="J57" s="433"/>
    </row>
    <row r="58" spans="1:10" s="825" customFormat="1" ht="10.5" customHeight="1">
      <c r="A58" s="1425" t="s">
        <v>1214</v>
      </c>
      <c r="B58" s="1426"/>
      <c r="C58" s="1427">
        <v>91554.7</v>
      </c>
      <c r="D58" s="1427">
        <v>9161.6</v>
      </c>
      <c r="E58" s="1427">
        <v>56421.3</v>
      </c>
      <c r="F58" s="1427">
        <v>6330.5</v>
      </c>
      <c r="G58" s="1427">
        <v>512.9</v>
      </c>
      <c r="H58" s="1427">
        <f t="shared" si="7"/>
        <v>157650.5</v>
      </c>
      <c r="I58" s="824"/>
      <c r="J58" s="433"/>
    </row>
    <row r="59" spans="1:10" s="825" customFormat="1" ht="11.25" customHeight="1">
      <c r="A59" s="1428" t="s">
        <v>1207</v>
      </c>
      <c r="B59" s="1429"/>
      <c r="C59" s="978">
        <v>92545.3</v>
      </c>
      <c r="D59" s="978">
        <v>8765.4</v>
      </c>
      <c r="E59" s="978">
        <v>58358.3</v>
      </c>
      <c r="F59" s="978">
        <v>6356.7</v>
      </c>
      <c r="G59" s="978">
        <v>545.79999999999995</v>
      </c>
      <c r="H59" s="978">
        <f t="shared" si="7"/>
        <v>160214.79999999999</v>
      </c>
      <c r="I59" s="824"/>
      <c r="J59" s="433"/>
    </row>
    <row r="60" spans="1:10" s="825" customFormat="1" ht="9.75" customHeight="1">
      <c r="A60" s="1425" t="s">
        <v>1215</v>
      </c>
      <c r="B60" s="1426"/>
      <c r="C60" s="1427">
        <v>92669.7</v>
      </c>
      <c r="D60" s="1427">
        <v>9829.7000000000007</v>
      </c>
      <c r="E60" s="1427">
        <v>58743.8</v>
      </c>
      <c r="F60" s="1427">
        <v>6749.7</v>
      </c>
      <c r="G60" s="1427">
        <v>525.20000000000005</v>
      </c>
      <c r="H60" s="1427">
        <f t="shared" si="7"/>
        <v>161768.40000000002</v>
      </c>
      <c r="I60" s="824"/>
      <c r="J60" s="433"/>
    </row>
    <row r="61" spans="1:10" s="825" customFormat="1" ht="10.5" customHeight="1">
      <c r="A61" s="1428" t="s">
        <v>1216</v>
      </c>
      <c r="B61" s="1429"/>
      <c r="C61" s="978">
        <v>94137.4</v>
      </c>
      <c r="D61" s="978">
        <v>9627.4</v>
      </c>
      <c r="E61" s="978">
        <v>57394.9</v>
      </c>
      <c r="F61" s="978">
        <v>8178.6</v>
      </c>
      <c r="G61" s="978">
        <f>527.9+35.4</f>
        <v>563.29999999999995</v>
      </c>
      <c r="H61" s="978">
        <f t="shared" si="7"/>
        <v>161722.99999999997</v>
      </c>
      <c r="I61" s="824"/>
      <c r="J61" s="433"/>
    </row>
    <row r="62" spans="1:10" s="825" customFormat="1" ht="11.25" customHeight="1">
      <c r="A62" s="1425" t="s">
        <v>1208</v>
      </c>
      <c r="B62" s="1426"/>
      <c r="C62" s="1427">
        <v>96596.2</v>
      </c>
      <c r="D62" s="1427">
        <v>8440.5</v>
      </c>
      <c r="E62" s="1427">
        <v>56247.8</v>
      </c>
      <c r="F62" s="1427">
        <v>7616.6</v>
      </c>
      <c r="G62" s="1427">
        <f>568.9+28.3</f>
        <v>597.19999999999993</v>
      </c>
      <c r="H62" s="1427">
        <f t="shared" si="7"/>
        <v>161881.70000000001</v>
      </c>
      <c r="I62" s="824"/>
      <c r="J62" s="433"/>
    </row>
    <row r="63" spans="1:10" s="825" customFormat="1" ht="10.5" customHeight="1">
      <c r="A63" s="1428" t="s">
        <v>1217</v>
      </c>
      <c r="B63" s="1429"/>
      <c r="C63" s="978">
        <v>98745.5</v>
      </c>
      <c r="D63" s="978">
        <v>8313.2999999999993</v>
      </c>
      <c r="E63" s="978">
        <v>57605.7</v>
      </c>
      <c r="F63" s="978">
        <v>7478.6</v>
      </c>
      <c r="G63" s="978">
        <v>559</v>
      </c>
      <c r="H63" s="978">
        <f t="shared" si="7"/>
        <v>165223.5</v>
      </c>
      <c r="I63" s="824"/>
      <c r="J63" s="433"/>
    </row>
    <row r="64" spans="1:10" s="825" customFormat="1" ht="10.5" customHeight="1">
      <c r="A64" s="1425" t="s">
        <v>1218</v>
      </c>
      <c r="B64" s="1426"/>
      <c r="C64" s="1427">
        <v>101562</v>
      </c>
      <c r="D64" s="1427">
        <v>9881.1</v>
      </c>
      <c r="E64" s="1427">
        <v>60901</v>
      </c>
      <c r="F64" s="1427">
        <v>6766.5</v>
      </c>
      <c r="G64" s="1427">
        <v>558.79999999999995</v>
      </c>
      <c r="H64" s="1427">
        <f t="shared" si="7"/>
        <v>172902.9</v>
      </c>
      <c r="I64" s="824"/>
      <c r="J64" s="433"/>
    </row>
    <row r="65" spans="1:10" s="825" customFormat="1" ht="10.5" hidden="1" customHeight="1">
      <c r="A65" s="1425"/>
      <c r="B65" s="1426"/>
      <c r="C65" s="1427"/>
      <c r="D65" s="1427"/>
      <c r="E65" s="1427"/>
      <c r="F65" s="1427"/>
      <c r="G65" s="1427"/>
      <c r="H65" s="1427"/>
      <c r="I65" s="824"/>
      <c r="J65" s="433"/>
    </row>
    <row r="66" spans="1:10" s="825" customFormat="1" ht="12" customHeight="1">
      <c r="A66" s="1460" t="s">
        <v>1209</v>
      </c>
      <c r="B66" s="432"/>
      <c r="C66" s="978">
        <v>122074.5</v>
      </c>
      <c r="D66" s="978">
        <v>10230.700000000001</v>
      </c>
      <c r="E66" s="978">
        <v>60299</v>
      </c>
      <c r="F66" s="978">
        <v>7133.4</v>
      </c>
      <c r="G66" s="978">
        <v>597.1</v>
      </c>
      <c r="H66" s="978">
        <f t="shared" si="7"/>
        <v>193201.30000000002</v>
      </c>
      <c r="I66" s="824"/>
      <c r="J66" s="433"/>
    </row>
    <row r="67" spans="1:10" s="825" customFormat="1" ht="12" customHeight="1">
      <c r="A67" s="639" t="s">
        <v>2809</v>
      </c>
      <c r="B67" s="520"/>
      <c r="C67" s="1427"/>
      <c r="D67" s="1427"/>
      <c r="E67" s="1427"/>
      <c r="F67" s="1427"/>
      <c r="G67" s="1427"/>
      <c r="H67" s="1427"/>
      <c r="I67" s="824"/>
      <c r="J67" s="433"/>
    </row>
    <row r="68" spans="1:10" s="825" customFormat="1" ht="12" customHeight="1">
      <c r="A68" s="676" t="s">
        <v>1211</v>
      </c>
      <c r="B68" s="432"/>
      <c r="C68" s="978">
        <v>109025</v>
      </c>
      <c r="D68" s="978">
        <v>10638.4</v>
      </c>
      <c r="E68" s="978">
        <v>61615</v>
      </c>
      <c r="F68" s="978">
        <v>7746.1</v>
      </c>
      <c r="G68" s="978">
        <v>579.79999999999995</v>
      </c>
      <c r="H68" s="978">
        <f t="shared" si="7"/>
        <v>181858.19999999998</v>
      </c>
      <c r="I68" s="824"/>
      <c r="J68" s="433"/>
    </row>
    <row r="69" spans="1:10" s="825" customFormat="1" ht="12" customHeight="1">
      <c r="A69" s="605" t="s">
        <v>1212</v>
      </c>
      <c r="B69" s="520"/>
      <c r="C69" s="1427">
        <v>112113.8</v>
      </c>
      <c r="D69" s="1427">
        <v>10010</v>
      </c>
      <c r="E69" s="1427">
        <v>59999</v>
      </c>
      <c r="F69" s="1427">
        <v>8315.9</v>
      </c>
      <c r="G69" s="1427">
        <v>595.79999999999995</v>
      </c>
      <c r="H69" s="1427">
        <f t="shared" si="7"/>
        <v>182718.59999999998</v>
      </c>
      <c r="I69" s="824"/>
      <c r="J69" s="433"/>
    </row>
    <row r="70" spans="1:10" s="825" customFormat="1" ht="12" customHeight="1">
      <c r="A70" s="480" t="s">
        <v>1206</v>
      </c>
      <c r="B70" s="432"/>
      <c r="C70" s="978">
        <v>118129.3</v>
      </c>
      <c r="D70" s="978">
        <v>10120.299999999999</v>
      </c>
      <c r="E70" s="978">
        <v>60919.7</v>
      </c>
      <c r="F70" s="978">
        <v>8762.2999999999993</v>
      </c>
      <c r="G70" s="978">
        <v>638.79999999999995</v>
      </c>
      <c r="H70" s="978">
        <f t="shared" si="7"/>
        <v>189808.09999999998</v>
      </c>
      <c r="I70" s="824"/>
      <c r="J70" s="433"/>
    </row>
    <row r="71" spans="1:10" s="825" customFormat="1" ht="12" customHeight="1">
      <c r="A71" s="605" t="s">
        <v>1213</v>
      </c>
      <c r="B71" s="520"/>
      <c r="C71" s="1427">
        <v>112704.50000000001</v>
      </c>
      <c r="D71" s="1427">
        <v>10709.7</v>
      </c>
      <c r="E71" s="1427">
        <v>62601.7</v>
      </c>
      <c r="F71" s="1427">
        <v>7746.7</v>
      </c>
      <c r="G71" s="1427">
        <v>632.6</v>
      </c>
      <c r="H71" s="1427">
        <f t="shared" si="7"/>
        <v>186648.50000000003</v>
      </c>
      <c r="I71" s="824"/>
      <c r="J71" s="433"/>
    </row>
    <row r="72" spans="1:10" s="825" customFormat="1" ht="12" customHeight="1">
      <c r="A72" s="480" t="s">
        <v>1214</v>
      </c>
      <c r="B72" s="432"/>
      <c r="C72" s="978">
        <v>111242</v>
      </c>
      <c r="D72" s="978">
        <v>10216.5</v>
      </c>
      <c r="E72" s="978">
        <v>64826</v>
      </c>
      <c r="F72" s="978">
        <v>6294.1</v>
      </c>
      <c r="G72" s="978">
        <v>639.29999999999995</v>
      </c>
      <c r="H72" s="978">
        <f t="shared" si="7"/>
        <v>186923.8</v>
      </c>
      <c r="I72" s="824"/>
      <c r="J72" s="433"/>
    </row>
    <row r="73" spans="1:10" s="825" customFormat="1" ht="12" customHeight="1" thickBot="1">
      <c r="A73" s="1580" t="s">
        <v>1207</v>
      </c>
      <c r="B73" s="1567"/>
      <c r="C73" s="1581">
        <v>113153.4</v>
      </c>
      <c r="D73" s="1581">
        <v>10203.1</v>
      </c>
      <c r="E73" s="1581">
        <v>67509.5</v>
      </c>
      <c r="F73" s="1581">
        <v>7473.2</v>
      </c>
      <c r="G73" s="1581">
        <v>632.20000000000005</v>
      </c>
      <c r="H73" s="1581">
        <f t="shared" si="7"/>
        <v>191498.2</v>
      </c>
      <c r="I73" s="824"/>
      <c r="J73" s="433"/>
    </row>
    <row r="74" spans="1:10" s="315" customFormat="1" ht="9.9499999999999993" customHeight="1">
      <c r="A74" s="442" t="s">
        <v>509</v>
      </c>
      <c r="B74" s="442" t="s">
        <v>471</v>
      </c>
      <c r="C74" s="1834" t="s">
        <v>1390</v>
      </c>
      <c r="D74" s="1834"/>
      <c r="E74" s="1834"/>
      <c r="F74" s="1834"/>
      <c r="G74" s="1834"/>
      <c r="H74" s="1834"/>
    </row>
    <row r="75" spans="1:10" s="11" customFormat="1" ht="9.9499999999999993" customHeight="1">
      <c r="A75" s="79"/>
      <c r="B75" s="79"/>
      <c r="C75" s="1793" t="s">
        <v>1777</v>
      </c>
      <c r="D75" s="1793"/>
      <c r="E75" s="1793"/>
      <c r="F75" s="1793"/>
      <c r="G75" s="1793"/>
      <c r="H75" s="1793"/>
    </row>
    <row r="76" spans="1:10" s="11" customFormat="1" ht="9.9499999999999993" customHeight="1">
      <c r="C76" s="1839" t="s">
        <v>2856</v>
      </c>
      <c r="D76" s="1839"/>
      <c r="E76" s="1839"/>
      <c r="F76" s="1839"/>
      <c r="G76" s="1839"/>
      <c r="H76" s="1839"/>
    </row>
    <row r="77" spans="1:10" s="11" customFormat="1" ht="9.9499999999999993" customHeight="1">
      <c r="A77" s="812" t="s">
        <v>470</v>
      </c>
      <c r="B77" s="79" t="s">
        <v>471</v>
      </c>
      <c r="C77" s="1793" t="s">
        <v>494</v>
      </c>
      <c r="D77" s="1793"/>
      <c r="E77" s="1793"/>
      <c r="F77" s="1793"/>
      <c r="G77" s="1793"/>
      <c r="H77" s="1793"/>
    </row>
    <row r="78" spans="1:10" s="11" customFormat="1">
      <c r="C78" s="105"/>
      <c r="H78" s="265"/>
    </row>
    <row r="80" spans="1:10">
      <c r="H80" s="56"/>
    </row>
    <row r="81" spans="8:8">
      <c r="H81" s="56"/>
    </row>
  </sheetData>
  <mergeCells count="16">
    <mergeCell ref="C77:H77"/>
    <mergeCell ref="C74:H74"/>
    <mergeCell ref="E5:E6"/>
    <mergeCell ref="E4:F4"/>
    <mergeCell ref="E3:G3"/>
    <mergeCell ref="C76:H76"/>
    <mergeCell ref="C75:H75"/>
    <mergeCell ref="G1:H1"/>
    <mergeCell ref="A1:F1"/>
    <mergeCell ref="A3:B7"/>
    <mergeCell ref="F5:F6"/>
    <mergeCell ref="D3:D6"/>
    <mergeCell ref="C3:C6"/>
    <mergeCell ref="G2:H2"/>
    <mergeCell ref="H3:H6"/>
    <mergeCell ref="G4:G6"/>
  </mergeCells>
  <phoneticPr fontId="0" type="noConversion"/>
  <conditionalFormatting sqref="A66">
    <cfRule type="expression" priority="51" stopIfTrue="1">
      <formula>MOD(row,0)=0</formula>
    </cfRule>
  </conditionalFormatting>
  <conditionalFormatting sqref="A66">
    <cfRule type="expression" dxfId="25" priority="50" stopIfTrue="1">
      <formula>MOD(ROW(),2)=1</formula>
    </cfRule>
  </conditionalFormatting>
  <conditionalFormatting sqref="A66">
    <cfRule type="expression" dxfId="24" priority="48" stopIfTrue="1">
      <formula>MOD(ROW(),2)=1</formula>
    </cfRule>
    <cfRule type="expression" priority="49" stopIfTrue="1">
      <formula>MOD(ROW(),2)=1</formula>
    </cfRule>
  </conditionalFormatting>
  <conditionalFormatting sqref="A66">
    <cfRule type="expression" priority="46" stopIfTrue="1">
      <formula>MOD((((#REF!))),0)=0</formula>
    </cfRule>
  </conditionalFormatting>
  <conditionalFormatting sqref="A66">
    <cfRule type="expression" dxfId="23" priority="39" stopIfTrue="1">
      <formula>MOD(ROW(),2)=1</formula>
    </cfRule>
  </conditionalFormatting>
  <conditionalFormatting sqref="A66">
    <cfRule type="expression" dxfId="22" priority="37" stopIfTrue="1">
      <formula>MOD(ROW(),2)=1</formula>
    </cfRule>
    <cfRule type="expression" priority="38" stopIfTrue="1">
      <formula>MOD(ROW(),2)=1</formula>
    </cfRule>
  </conditionalFormatting>
  <conditionalFormatting sqref="A66">
    <cfRule type="expression" priority="36" stopIfTrue="1">
      <formula>MOD(row,0)=0</formula>
    </cfRule>
  </conditionalFormatting>
  <conditionalFormatting sqref="A66">
    <cfRule type="expression" priority="35" stopIfTrue="1">
      <formula>MOD((((#REF!))),0)=0</formula>
    </cfRule>
  </conditionalFormatting>
  <conditionalFormatting sqref="A66">
    <cfRule type="expression" dxfId="21" priority="33" stopIfTrue="1">
      <formula>MOD(ROW(),2)=1</formula>
    </cfRule>
    <cfRule type="expression" priority="34" stopIfTrue="1">
      <formula>MOD(ROW(),2)=1</formula>
    </cfRule>
  </conditionalFormatting>
  <conditionalFormatting sqref="A66">
    <cfRule type="expression" priority="32" stopIfTrue="1">
      <formula>MOD(row,0)=0</formula>
    </cfRule>
  </conditionalFormatting>
  <conditionalFormatting sqref="A66">
    <cfRule type="expression" priority="31" stopIfTrue="1">
      <formula>MOD((((#REF!))),0)=0</formula>
    </cfRule>
  </conditionalFormatting>
  <conditionalFormatting sqref="A66">
    <cfRule type="expression" dxfId="20" priority="29" stopIfTrue="1">
      <formula>MOD(ROW(),2)=1</formula>
    </cfRule>
    <cfRule type="expression" priority="30" stopIfTrue="1">
      <formula>MOD(ROW(),2)=1</formula>
    </cfRule>
  </conditionalFormatting>
  <conditionalFormatting sqref="A66">
    <cfRule type="expression" priority="28" stopIfTrue="1">
      <formula>MOD(row,0)=0</formula>
    </cfRule>
  </conditionalFormatting>
  <conditionalFormatting sqref="A66">
    <cfRule type="expression" priority="27" stopIfTrue="1">
      <formula>MOD((((#REF!))),0)=0</formula>
    </cfRule>
  </conditionalFormatting>
  <conditionalFormatting sqref="A66">
    <cfRule type="expression" dxfId="19" priority="25" stopIfTrue="1">
      <formula>MOD(ROW(),2)=1</formula>
    </cfRule>
    <cfRule type="expression" priority="26" stopIfTrue="1">
      <formula>MOD(ROW(),2)=1</formula>
    </cfRule>
  </conditionalFormatting>
  <conditionalFormatting sqref="A66">
    <cfRule type="expression" priority="24" stopIfTrue="1">
      <formula>MOD(row,0)=0</formula>
    </cfRule>
  </conditionalFormatting>
  <conditionalFormatting sqref="A66">
    <cfRule type="expression" priority="23" stopIfTrue="1">
      <formula>MOD((((#REF!))),0)=0</formula>
    </cfRule>
  </conditionalFormatting>
  <pageMargins left="0.62992125984252001" right="0.511811023622047" top="0.511811023622047" bottom="0.511811023622047" header="0" footer="0.39370078740157499"/>
  <pageSetup paperSize="512" firstPageNumber="16" orientation="portrait" useFirstPageNumber="1" r:id="rId1"/>
  <headerFooter alignWithMargins="0">
    <oddFooter>&amp;C&amp;"Times New Roman,Regular"&amp;8&amp;P</oddFooter>
  </headerFooter>
  <ignoredErrors>
    <ignoredError sqref="H27" 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>
  <dimension ref="A1:N75"/>
  <sheetViews>
    <sheetView zoomScale="130" zoomScaleNormal="13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L16" sqref="L16"/>
    </sheetView>
  </sheetViews>
  <sheetFormatPr defaultColWidth="9.140625" defaultRowHeight="11.25"/>
  <cols>
    <col min="1" max="1" width="7.7109375" style="317" customWidth="1"/>
    <col min="2" max="2" width="1.42578125" style="317" customWidth="1"/>
    <col min="3" max="3" width="7.42578125" style="317" customWidth="1"/>
    <col min="4" max="4" width="7.140625" style="317" customWidth="1"/>
    <col min="5" max="5" width="7" style="317" customWidth="1"/>
    <col min="6" max="6" width="6.42578125" style="317" customWidth="1"/>
    <col min="7" max="7" width="7.42578125" style="317" customWidth="1"/>
    <col min="8" max="8" width="8.28515625" style="317" customWidth="1"/>
    <col min="9" max="9" width="6.85546875" style="317" customWidth="1"/>
    <col min="10" max="10" width="8" style="317" customWidth="1"/>
    <col min="11" max="11" width="7.5703125" style="317" customWidth="1"/>
    <col min="12" max="16384" width="9.140625" style="317"/>
  </cols>
  <sheetData>
    <row r="1" spans="1:11" s="320" customFormat="1" ht="13.5" customHeight="1">
      <c r="A1" s="1841" t="s">
        <v>913</v>
      </c>
      <c r="B1" s="1841"/>
      <c r="C1" s="1841"/>
      <c r="D1" s="1841"/>
      <c r="E1" s="1841"/>
      <c r="F1" s="1841"/>
      <c r="G1" s="1841"/>
      <c r="H1" s="1841"/>
      <c r="I1" s="1841"/>
      <c r="J1" s="1842" t="s">
        <v>510</v>
      </c>
      <c r="K1" s="1842"/>
    </row>
    <row r="2" spans="1:11" s="323" customFormat="1" ht="12">
      <c r="J2" s="1843" t="s">
        <v>42</v>
      </c>
      <c r="K2" s="1843"/>
    </row>
    <row r="3" spans="1:11" s="744" customFormat="1" ht="15" customHeight="1">
      <c r="A3" s="1827" t="s">
        <v>1983</v>
      </c>
      <c r="B3" s="1828"/>
      <c r="C3" s="1700" t="s">
        <v>511</v>
      </c>
      <c r="D3" s="1762" t="s">
        <v>1134</v>
      </c>
      <c r="E3" s="1763"/>
      <c r="F3" s="1763"/>
      <c r="G3" s="1763"/>
      <c r="H3" s="1764"/>
      <c r="I3" s="1700" t="s">
        <v>1984</v>
      </c>
      <c r="J3" s="1700" t="s">
        <v>514</v>
      </c>
      <c r="K3" s="1700" t="s">
        <v>515</v>
      </c>
    </row>
    <row r="4" spans="1:11" s="744" customFormat="1" ht="12.75" customHeight="1">
      <c r="A4" s="1829"/>
      <c r="B4" s="1830"/>
      <c r="C4" s="1731"/>
      <c r="D4" s="1700" t="s">
        <v>1674</v>
      </c>
      <c r="E4" s="1700" t="s">
        <v>1136</v>
      </c>
      <c r="F4" s="1700" t="s">
        <v>1251</v>
      </c>
      <c r="G4" s="1700" t="s">
        <v>512</v>
      </c>
      <c r="H4" s="1700" t="s">
        <v>513</v>
      </c>
      <c r="I4" s="1731"/>
      <c r="J4" s="1731"/>
      <c r="K4" s="1731"/>
    </row>
    <row r="5" spans="1:11" s="326" customFormat="1" ht="19.5" customHeight="1">
      <c r="A5" s="1829"/>
      <c r="B5" s="1830"/>
      <c r="C5" s="1731"/>
      <c r="D5" s="1731"/>
      <c r="E5" s="1731"/>
      <c r="F5" s="1836"/>
      <c r="G5" s="1731"/>
      <c r="H5" s="1731"/>
      <c r="I5" s="1731"/>
      <c r="J5" s="1731"/>
      <c r="K5" s="1731"/>
    </row>
    <row r="6" spans="1:11" s="326" customFormat="1" ht="14.25" customHeight="1">
      <c r="A6" s="1829"/>
      <c r="B6" s="1830"/>
      <c r="C6" s="1701"/>
      <c r="D6" s="1701"/>
      <c r="E6" s="1701"/>
      <c r="F6" s="1835"/>
      <c r="G6" s="1701"/>
      <c r="H6" s="1701"/>
      <c r="I6" s="1701"/>
      <c r="J6" s="1701"/>
      <c r="K6" s="1701"/>
    </row>
    <row r="7" spans="1:11" s="429" customFormat="1" ht="10.5" customHeight="1">
      <c r="A7" s="1831"/>
      <c r="B7" s="1832"/>
      <c r="C7" s="976">
        <v>1</v>
      </c>
      <c r="D7" s="977">
        <v>2</v>
      </c>
      <c r="E7" s="977">
        <v>3</v>
      </c>
      <c r="F7" s="977">
        <v>4</v>
      </c>
      <c r="G7" s="977">
        <v>5</v>
      </c>
      <c r="H7" s="977">
        <v>6</v>
      </c>
      <c r="I7" s="977">
        <v>7</v>
      </c>
      <c r="J7" s="977">
        <v>8</v>
      </c>
      <c r="K7" s="977">
        <v>9</v>
      </c>
    </row>
    <row r="8" spans="1:11" s="494" customFormat="1" ht="9.9499999999999993" hidden="1" customHeight="1">
      <c r="A8" s="448" t="s">
        <v>1196</v>
      </c>
      <c r="B8" s="448"/>
      <c r="C8" s="441">
        <f>5388.7-91.7</f>
        <v>5297</v>
      </c>
      <c r="D8" s="42">
        <v>3036.8</v>
      </c>
      <c r="E8" s="42">
        <v>1195.5</v>
      </c>
      <c r="F8" s="42">
        <v>15.7</v>
      </c>
      <c r="G8" s="42">
        <v>3413.7</v>
      </c>
      <c r="H8" s="42">
        <f t="shared" ref="H8:H24" si="0">D8+E8+F8+G8</f>
        <v>7661.7</v>
      </c>
      <c r="I8" s="42">
        <f>-2047.4+91.7</f>
        <v>-1955.7</v>
      </c>
      <c r="J8" s="42">
        <f t="shared" ref="J8:J31" si="1">H8+I8</f>
        <v>5706</v>
      </c>
      <c r="K8" s="88">
        <f t="shared" ref="K8:K31" si="2">C8+J8</f>
        <v>11003</v>
      </c>
    </row>
    <row r="9" spans="1:11" s="494" customFormat="1" ht="9.9499999999999993" hidden="1" customHeight="1">
      <c r="A9" s="448" t="s">
        <v>1197</v>
      </c>
      <c r="B9" s="448"/>
      <c r="C9" s="441">
        <f>5012.1-91.7</f>
        <v>4920.4000000000005</v>
      </c>
      <c r="D9" s="42">
        <v>4488.8999999999996</v>
      </c>
      <c r="E9" s="42">
        <v>1192.5999999999999</v>
      </c>
      <c r="F9" s="42">
        <v>15.7</v>
      </c>
      <c r="G9" s="42">
        <v>3600.3</v>
      </c>
      <c r="H9" s="42">
        <f t="shared" si="0"/>
        <v>9297.5</v>
      </c>
      <c r="I9" s="42">
        <f>-1915.1+91.7</f>
        <v>-1823.3999999999999</v>
      </c>
      <c r="J9" s="42">
        <f t="shared" si="1"/>
        <v>7474.1</v>
      </c>
      <c r="K9" s="42">
        <f t="shared" si="2"/>
        <v>12394.5</v>
      </c>
    </row>
    <row r="10" spans="1:11" s="494" customFormat="1" ht="9.9499999999999993" customHeight="1">
      <c r="A10" s="448" t="s">
        <v>1198</v>
      </c>
      <c r="B10" s="448"/>
      <c r="C10" s="441">
        <f>5396.8-91.7</f>
        <v>5305.1</v>
      </c>
      <c r="D10" s="42">
        <v>5295.5</v>
      </c>
      <c r="E10" s="42">
        <v>1404.8</v>
      </c>
      <c r="F10" s="42">
        <v>15.7</v>
      </c>
      <c r="G10" s="42">
        <v>3749.4</v>
      </c>
      <c r="H10" s="42">
        <f t="shared" si="0"/>
        <v>10465.4</v>
      </c>
      <c r="I10" s="42">
        <f>-2244.6+91.7</f>
        <v>-2152.9</v>
      </c>
      <c r="J10" s="42">
        <f t="shared" si="1"/>
        <v>8312.5</v>
      </c>
      <c r="K10" s="42">
        <f t="shared" si="2"/>
        <v>13617.6</v>
      </c>
    </row>
    <row r="11" spans="1:11" s="494" customFormat="1" ht="9.9499999999999993" customHeight="1">
      <c r="A11" s="448" t="s">
        <v>1199</v>
      </c>
      <c r="B11" s="448"/>
      <c r="C11" s="441">
        <f>4708.9-91.7</f>
        <v>4617.2</v>
      </c>
      <c r="D11" s="42">
        <v>6359.9</v>
      </c>
      <c r="E11" s="42">
        <v>1365.6</v>
      </c>
      <c r="F11" s="42">
        <f>113+695.4</f>
        <v>808.4</v>
      </c>
      <c r="G11" s="42">
        <v>4622.8</v>
      </c>
      <c r="H11" s="42">
        <f t="shared" si="0"/>
        <v>13156.7</v>
      </c>
      <c r="I11" s="42">
        <f>-2427.5-695.4+91.7</f>
        <v>-3031.2000000000003</v>
      </c>
      <c r="J11" s="42">
        <f t="shared" si="1"/>
        <v>10125.5</v>
      </c>
      <c r="K11" s="42">
        <f t="shared" si="2"/>
        <v>14742.7</v>
      </c>
    </row>
    <row r="12" spans="1:11" s="494" customFormat="1" ht="9.9499999999999993" customHeight="1">
      <c r="A12" s="448" t="s">
        <v>1200</v>
      </c>
      <c r="B12" s="448"/>
      <c r="C12" s="441">
        <f>5971.3-305.2</f>
        <v>5666.1</v>
      </c>
      <c r="D12" s="88">
        <v>8098</v>
      </c>
      <c r="E12" s="42">
        <v>1320.7</v>
      </c>
      <c r="F12" s="42">
        <f>111.7+788.7</f>
        <v>900.40000000000009</v>
      </c>
      <c r="G12" s="42">
        <v>4289.2</v>
      </c>
      <c r="H12" s="42">
        <f t="shared" si="0"/>
        <v>14608.3</v>
      </c>
      <c r="I12" s="42">
        <f>-2726.4-788.7+304.8</f>
        <v>-3210.3</v>
      </c>
      <c r="J12" s="42">
        <f t="shared" si="1"/>
        <v>11398</v>
      </c>
      <c r="K12" s="42">
        <f t="shared" si="2"/>
        <v>17064.099999999999</v>
      </c>
    </row>
    <row r="13" spans="1:11" s="494" customFormat="1" ht="9.9499999999999993" customHeight="1">
      <c r="A13" s="448" t="s">
        <v>1201</v>
      </c>
      <c r="B13" s="448"/>
      <c r="C13" s="441">
        <f>5144-331.6</f>
        <v>4812.3999999999996</v>
      </c>
      <c r="D13" s="42">
        <v>10107.299999999999</v>
      </c>
      <c r="E13" s="42">
        <v>1305.0999999999999</v>
      </c>
      <c r="F13" s="42">
        <f>110.4+877.1</f>
        <v>987.5</v>
      </c>
      <c r="G13" s="42">
        <v>4368.6000000000004</v>
      </c>
      <c r="H13" s="42">
        <f t="shared" si="0"/>
        <v>16768.5</v>
      </c>
      <c r="I13" s="42">
        <f>-2108.6-877.1+332.2</f>
        <v>-2653.5</v>
      </c>
      <c r="J13" s="42">
        <f t="shared" si="1"/>
        <v>14115</v>
      </c>
      <c r="K13" s="42">
        <f t="shared" si="2"/>
        <v>18927.400000000001</v>
      </c>
    </row>
    <row r="14" spans="1:11" s="494" customFormat="1" ht="9.9499999999999993" customHeight="1">
      <c r="A14" s="448" t="s">
        <v>1202</v>
      </c>
      <c r="B14" s="448"/>
      <c r="C14" s="441">
        <f>7590.2-359.8</f>
        <v>7230.4</v>
      </c>
      <c r="D14" s="42">
        <v>12834.3</v>
      </c>
      <c r="E14" s="42">
        <v>1277.5999999999999</v>
      </c>
      <c r="F14" s="42">
        <f>9.1+999</f>
        <v>1008.1</v>
      </c>
      <c r="G14" s="42">
        <v>4729.3</v>
      </c>
      <c r="H14" s="42">
        <f t="shared" si="0"/>
        <v>19849.3</v>
      </c>
      <c r="I14" s="42">
        <f>-2906.9-999+359.8-2960.6</f>
        <v>-6506.7</v>
      </c>
      <c r="J14" s="42">
        <f t="shared" si="1"/>
        <v>13342.599999999999</v>
      </c>
      <c r="K14" s="88">
        <f t="shared" si="2"/>
        <v>20573</v>
      </c>
    </row>
    <row r="15" spans="1:11" s="494" customFormat="1" ht="9.9499999999999993" customHeight="1">
      <c r="A15" s="448" t="s">
        <v>1203</v>
      </c>
      <c r="B15" s="448"/>
      <c r="C15" s="441">
        <f>12188.8-379.1</f>
        <v>11809.699999999999</v>
      </c>
      <c r="D15" s="441">
        <v>7353.3</v>
      </c>
      <c r="E15" s="441">
        <f>1231.9+50</f>
        <v>1281.9000000000001</v>
      </c>
      <c r="F15" s="42">
        <f>7.8+1133.9</f>
        <v>1141.7</v>
      </c>
      <c r="G15" s="42">
        <v>4846.8</v>
      </c>
      <c r="H15" s="88">
        <f t="shared" si="0"/>
        <v>14623.7</v>
      </c>
      <c r="I15" s="42">
        <f>-1365.5-1133.9+379.1-2871.6</f>
        <v>-4991.8999999999996</v>
      </c>
      <c r="J15" s="42">
        <f t="shared" si="1"/>
        <v>9631.8000000000011</v>
      </c>
      <c r="K15" s="42">
        <f t="shared" si="2"/>
        <v>21441.5</v>
      </c>
    </row>
    <row r="16" spans="1:11" s="494" customFormat="1" ht="9.9499999999999993" customHeight="1">
      <c r="A16" s="448" t="s">
        <v>1204</v>
      </c>
      <c r="B16" s="448"/>
      <c r="C16" s="441">
        <f>13959.5-417.2</f>
        <v>13542.3</v>
      </c>
      <c r="D16" s="42">
        <f>11897.6-50</f>
        <v>11847.6</v>
      </c>
      <c r="E16" s="42">
        <f>1191.1+50</f>
        <v>1241.0999999999999</v>
      </c>
      <c r="F16" s="42">
        <f>6.4+1234.9</f>
        <v>1241.3000000000002</v>
      </c>
      <c r="G16" s="42">
        <v>5852.1</v>
      </c>
      <c r="H16" s="42">
        <f t="shared" si="0"/>
        <v>20182.099999999999</v>
      </c>
      <c r="I16" s="88">
        <f>-6650.3-52.2-1234.9+417.2-2333.8</f>
        <v>-9854</v>
      </c>
      <c r="J16" s="42">
        <f t="shared" si="1"/>
        <v>10328.099999999999</v>
      </c>
      <c r="K16" s="88">
        <f t="shared" si="2"/>
        <v>23870.399999999998</v>
      </c>
    </row>
    <row r="17" spans="1:14" s="448" customFormat="1" ht="9.9499999999999993" customHeight="1">
      <c r="A17" s="448" t="s">
        <v>1205</v>
      </c>
      <c r="C17" s="846">
        <v>14678.2</v>
      </c>
      <c r="D17" s="42">
        <v>15674.3</v>
      </c>
      <c r="E17" s="42">
        <f>67.9+20+1017.7</f>
        <v>1105.6000000000001</v>
      </c>
      <c r="F17" s="42">
        <f>65.1+1276.3</f>
        <v>1341.3999999999999</v>
      </c>
      <c r="G17" s="42">
        <v>6132.5</v>
      </c>
      <c r="H17" s="42">
        <f>D17+E17+F17+G17</f>
        <v>24253.8</v>
      </c>
      <c r="I17" s="846">
        <v>-11531.6</v>
      </c>
      <c r="J17" s="42">
        <f t="shared" si="1"/>
        <v>12722.199999999999</v>
      </c>
      <c r="K17" s="88">
        <f t="shared" si="2"/>
        <v>27400.400000000001</v>
      </c>
    </row>
    <row r="18" spans="1:14" s="448" customFormat="1" ht="9.9499999999999993" customHeight="1">
      <c r="A18" s="448" t="s">
        <v>1210</v>
      </c>
      <c r="C18" s="846">
        <v>18640.3</v>
      </c>
      <c r="D18" s="846">
        <v>24982.7</v>
      </c>
      <c r="E18" s="88">
        <f>966+50</f>
        <v>1016</v>
      </c>
      <c r="F18" s="42">
        <f>85.7+1344.2</f>
        <v>1429.9</v>
      </c>
      <c r="G18" s="42">
        <v>6346.3</v>
      </c>
      <c r="H18" s="42">
        <f t="shared" si="0"/>
        <v>33774.9</v>
      </c>
      <c r="I18" s="846">
        <v>-18460.5</v>
      </c>
      <c r="J18" s="42">
        <f t="shared" si="1"/>
        <v>15314.400000000001</v>
      </c>
      <c r="K18" s="88">
        <f t="shared" si="2"/>
        <v>33954.699999999997</v>
      </c>
    </row>
    <row r="19" spans="1:14" s="448" customFormat="1" ht="9.9499999999999993" customHeight="1">
      <c r="A19" s="448" t="s">
        <v>1219</v>
      </c>
      <c r="C19" s="846">
        <v>28758.400000000001</v>
      </c>
      <c r="D19" s="846">
        <v>25074.9</v>
      </c>
      <c r="E19" s="88">
        <v>988</v>
      </c>
      <c r="F19" s="42">
        <f>171.2+1404.9</f>
        <v>1576.1000000000001</v>
      </c>
      <c r="G19" s="1173">
        <v>6442.1</v>
      </c>
      <c r="H19" s="42">
        <f>D19+E19+F19+G19</f>
        <v>34081.1</v>
      </c>
      <c r="I19" s="846">
        <v>-23416.799999999999</v>
      </c>
      <c r="J19" s="42">
        <f>H19+I19</f>
        <v>10664.3</v>
      </c>
      <c r="K19" s="88">
        <f t="shared" si="2"/>
        <v>39422.699999999997</v>
      </c>
    </row>
    <row r="20" spans="1:14" s="448" customFormat="1" ht="9.9499999999999993" customHeight="1">
      <c r="A20" s="448" t="s">
        <v>916</v>
      </c>
      <c r="C20" s="846">
        <v>32813.800000000003</v>
      </c>
      <c r="D20" s="846">
        <v>25927.7</v>
      </c>
      <c r="E20" s="42">
        <v>946.4</v>
      </c>
      <c r="F20" s="42">
        <v>1696.8</v>
      </c>
      <c r="G20" s="42">
        <v>7334.2</v>
      </c>
      <c r="H20" s="42">
        <f t="shared" si="0"/>
        <v>35905.1</v>
      </c>
      <c r="I20" s="846">
        <v>-21156.799999999999</v>
      </c>
      <c r="J20" s="88">
        <f t="shared" si="1"/>
        <v>14748.3</v>
      </c>
      <c r="K20" s="88">
        <f t="shared" si="2"/>
        <v>47562.100000000006</v>
      </c>
    </row>
    <row r="21" spans="1:14" s="448" customFormat="1" ht="9.9499999999999993" customHeight="1">
      <c r="A21" s="448" t="s">
        <v>230</v>
      </c>
      <c r="C21" s="846">
        <v>43227.5</v>
      </c>
      <c r="D21" s="846">
        <v>28471.5</v>
      </c>
      <c r="E21" s="42">
        <v>853.1</v>
      </c>
      <c r="F21" s="42">
        <v>2022.1</v>
      </c>
      <c r="G21" s="42">
        <v>6846.8</v>
      </c>
      <c r="H21" s="42">
        <f t="shared" si="0"/>
        <v>38193.5</v>
      </c>
      <c r="I21" s="846">
        <v>-18671.599999999999</v>
      </c>
      <c r="J21" s="88">
        <f t="shared" si="1"/>
        <v>19521.900000000001</v>
      </c>
      <c r="K21" s="88">
        <f t="shared" si="2"/>
        <v>62749.4</v>
      </c>
      <c r="L21" s="1166"/>
    </row>
    <row r="22" spans="1:14" s="448" customFormat="1" ht="9.9499999999999993" customHeight="1">
      <c r="A22" s="448" t="s">
        <v>220</v>
      </c>
      <c r="C22" s="846">
        <v>61181</v>
      </c>
      <c r="D22" s="846">
        <v>21471.200000000001</v>
      </c>
      <c r="E22" s="42">
        <v>830.7</v>
      </c>
      <c r="F22" s="42">
        <v>2588.6999999999998</v>
      </c>
      <c r="G22" s="42">
        <v>6613.9</v>
      </c>
      <c r="H22" s="42">
        <f t="shared" si="0"/>
        <v>31504.5</v>
      </c>
      <c r="I22" s="846">
        <v>-18542.7</v>
      </c>
      <c r="J22" s="88">
        <f t="shared" si="1"/>
        <v>12961.8</v>
      </c>
      <c r="K22" s="88">
        <f t="shared" si="2"/>
        <v>74142.8</v>
      </c>
      <c r="L22" s="1166"/>
    </row>
    <row r="23" spans="1:14" s="448" customFormat="1" ht="9.9499999999999993" customHeight="1">
      <c r="A23" s="448" t="s">
        <v>489</v>
      </c>
      <c r="C23" s="846">
        <v>61342.1</v>
      </c>
      <c r="D23" s="846">
        <v>31710.5</v>
      </c>
      <c r="E23" s="42">
        <v>776.7</v>
      </c>
      <c r="F23" s="42">
        <v>3143.7</v>
      </c>
      <c r="G23" s="42">
        <v>18608.8</v>
      </c>
      <c r="H23" s="42">
        <f t="shared" si="0"/>
        <v>54239.7</v>
      </c>
      <c r="I23" s="846">
        <v>-25847.4</v>
      </c>
      <c r="J23" s="88">
        <f t="shared" si="1"/>
        <v>28392.299999999996</v>
      </c>
      <c r="K23" s="88">
        <f t="shared" si="2"/>
        <v>89734.399999999994</v>
      </c>
      <c r="L23" s="1166"/>
    </row>
    <row r="24" spans="1:14" s="448" customFormat="1" ht="9.9499999999999993" customHeight="1">
      <c r="A24" s="448" t="s">
        <v>1580</v>
      </c>
      <c r="C24" s="846">
        <v>68930.100000000006</v>
      </c>
      <c r="D24" s="846">
        <v>37854.9</v>
      </c>
      <c r="E24" s="42">
        <v>1181.9000000000001</v>
      </c>
      <c r="F24" s="42">
        <v>3598.7</v>
      </c>
      <c r="G24" s="42">
        <v>22627.4</v>
      </c>
      <c r="H24" s="42">
        <f t="shared" si="0"/>
        <v>65262.9</v>
      </c>
      <c r="I24" s="846">
        <v>-36390.300000000003</v>
      </c>
      <c r="J24" s="88">
        <f t="shared" si="1"/>
        <v>28872.6</v>
      </c>
      <c r="K24" s="88">
        <f t="shared" si="2"/>
        <v>97802.700000000012</v>
      </c>
      <c r="L24" s="1166"/>
    </row>
    <row r="25" spans="1:14" s="448" customFormat="1" ht="10.5" customHeight="1">
      <c r="A25" s="448" t="s">
        <v>1809</v>
      </c>
      <c r="C25" s="846">
        <v>103246</v>
      </c>
      <c r="D25" s="846">
        <v>27069</v>
      </c>
      <c r="E25" s="42">
        <v>1354.5</v>
      </c>
      <c r="F25" s="42">
        <v>4180.2</v>
      </c>
      <c r="G25" s="42">
        <v>10219</v>
      </c>
      <c r="H25" s="42">
        <v>42822.7</v>
      </c>
      <c r="I25" s="846">
        <v>-33579.300000000003</v>
      </c>
      <c r="J25" s="88">
        <v>9243.3999999999942</v>
      </c>
      <c r="K25" s="88">
        <v>112489.4</v>
      </c>
      <c r="L25" s="1166"/>
    </row>
    <row r="26" spans="1:14" s="1168" customFormat="1" ht="10.5" customHeight="1">
      <c r="A26" s="1170" t="s">
        <v>2226</v>
      </c>
      <c r="C26" s="855">
        <f>C38</f>
        <v>147496.6</v>
      </c>
      <c r="D26" s="1007">
        <f>D38</f>
        <v>3840.6</v>
      </c>
      <c r="E26" s="1007">
        <f t="shared" ref="E26:K26" si="3">E38</f>
        <v>1202.7</v>
      </c>
      <c r="F26" s="1007">
        <f t="shared" si="3"/>
        <v>4272.7</v>
      </c>
      <c r="G26" s="1007">
        <f t="shared" si="3"/>
        <v>6279.2</v>
      </c>
      <c r="H26" s="1007">
        <f t="shared" si="3"/>
        <v>15595.2</v>
      </c>
      <c r="I26" s="1007">
        <f t="shared" si="3"/>
        <v>-33216.5</v>
      </c>
      <c r="J26" s="1007">
        <f t="shared" si="3"/>
        <v>-17621.3</v>
      </c>
      <c r="K26" s="1007">
        <f t="shared" si="3"/>
        <v>129875.3</v>
      </c>
    </row>
    <row r="27" spans="1:14" s="1168" customFormat="1" ht="9.9499999999999993" hidden="1" customHeight="1">
      <c r="A27" s="956" t="s">
        <v>1211</v>
      </c>
      <c r="C27" s="846">
        <v>106752.9</v>
      </c>
      <c r="D27" s="846">
        <v>24642.3</v>
      </c>
      <c r="E27" s="854">
        <v>1346.7</v>
      </c>
      <c r="F27" s="854">
        <v>4207.7</v>
      </c>
      <c r="G27" s="854">
        <v>13822.6</v>
      </c>
      <c r="H27" s="854">
        <f t="shared" ref="H27:H51" si="4">D27+E27+F27+G27</f>
        <v>44019.3</v>
      </c>
      <c r="I27" s="846">
        <v>-32902.199999999997</v>
      </c>
      <c r="J27" s="88">
        <f t="shared" si="1"/>
        <v>11117.100000000006</v>
      </c>
      <c r="K27" s="88">
        <f t="shared" si="2"/>
        <v>117870</v>
      </c>
      <c r="M27" s="883"/>
    </row>
    <row r="28" spans="1:14" s="1168" customFormat="1" ht="9.9499999999999993" hidden="1" customHeight="1">
      <c r="A28" s="956" t="s">
        <v>1212</v>
      </c>
      <c r="C28" s="846">
        <v>109387.8</v>
      </c>
      <c r="D28" s="846">
        <v>19429.099999999999</v>
      </c>
      <c r="E28" s="854">
        <v>1346.7</v>
      </c>
      <c r="F28" s="854">
        <v>4212.3</v>
      </c>
      <c r="G28" s="854">
        <v>11378.2</v>
      </c>
      <c r="H28" s="854">
        <f t="shared" si="4"/>
        <v>36366.300000000003</v>
      </c>
      <c r="I28" s="846">
        <f>-28443.3+39.4</f>
        <v>-28403.899999999998</v>
      </c>
      <c r="J28" s="88">
        <f t="shared" si="1"/>
        <v>7962.4000000000051</v>
      </c>
      <c r="K28" s="88">
        <f t="shared" si="2"/>
        <v>117350.20000000001</v>
      </c>
      <c r="M28" s="883"/>
      <c r="N28" s="883"/>
    </row>
    <row r="29" spans="1:14" s="1168" customFormat="1" ht="9.9499999999999993" hidden="1" customHeight="1">
      <c r="A29" s="956" t="s">
        <v>1206</v>
      </c>
      <c r="C29" s="846">
        <v>111688.5</v>
      </c>
      <c r="D29" s="846">
        <v>17066.8</v>
      </c>
      <c r="E29" s="846">
        <v>1349.3</v>
      </c>
      <c r="F29" s="846">
        <v>4212.3</v>
      </c>
      <c r="G29" s="846">
        <v>9344.7000000000007</v>
      </c>
      <c r="H29" s="846">
        <f t="shared" si="4"/>
        <v>31973.1</v>
      </c>
      <c r="I29" s="846">
        <v>-29656.799999999999</v>
      </c>
      <c r="J29" s="88">
        <f>H29+I29</f>
        <v>2316.2999999999993</v>
      </c>
      <c r="K29" s="88">
        <f t="shared" si="2"/>
        <v>114004.8</v>
      </c>
      <c r="M29" s="883"/>
    </row>
    <row r="30" spans="1:14" s="1168" customFormat="1" ht="9.9499999999999993" hidden="1" customHeight="1">
      <c r="A30" s="956" t="s">
        <v>1213</v>
      </c>
      <c r="C30" s="846">
        <v>117666.6</v>
      </c>
      <c r="D30" s="846">
        <v>21871.599999999999</v>
      </c>
      <c r="E30" s="846">
        <v>1351.8</v>
      </c>
      <c r="F30" s="846">
        <v>4183.7</v>
      </c>
      <c r="G30" s="846">
        <v>7078.8</v>
      </c>
      <c r="H30" s="846">
        <f t="shared" si="4"/>
        <v>34485.9</v>
      </c>
      <c r="I30" s="846">
        <v>-30802.9</v>
      </c>
      <c r="J30" s="88">
        <f t="shared" si="1"/>
        <v>3683</v>
      </c>
      <c r="K30" s="88">
        <f t="shared" si="2"/>
        <v>121349.6</v>
      </c>
      <c r="M30" s="883"/>
    </row>
    <row r="31" spans="1:14" s="1168" customFormat="1" ht="9.9499999999999993" hidden="1" customHeight="1">
      <c r="A31" s="956" t="s">
        <v>1214</v>
      </c>
      <c r="C31" s="846">
        <v>120038.5</v>
      </c>
      <c r="D31" s="846">
        <v>18079.2</v>
      </c>
      <c r="E31" s="846">
        <v>1355</v>
      </c>
      <c r="F31" s="846">
        <v>4261.1000000000004</v>
      </c>
      <c r="G31" s="846">
        <v>7083.4</v>
      </c>
      <c r="H31" s="846">
        <f t="shared" si="4"/>
        <v>30778.700000000004</v>
      </c>
      <c r="I31" s="846">
        <v>-30252.5</v>
      </c>
      <c r="J31" s="88">
        <f t="shared" si="1"/>
        <v>526.20000000000437</v>
      </c>
      <c r="K31" s="88">
        <f t="shared" si="2"/>
        <v>120564.70000000001</v>
      </c>
      <c r="M31" s="883"/>
    </row>
    <row r="32" spans="1:14" s="1168" customFormat="1" ht="9.9499999999999993" hidden="1" customHeight="1">
      <c r="A32" s="956" t="s">
        <v>1207</v>
      </c>
      <c r="C32" s="846">
        <v>123425.7</v>
      </c>
      <c r="D32" s="846">
        <v>18173.400000000001</v>
      </c>
      <c r="E32" s="846">
        <v>1359.8</v>
      </c>
      <c r="F32" s="846">
        <v>4293</v>
      </c>
      <c r="G32" s="846">
        <v>7414</v>
      </c>
      <c r="H32" s="846">
        <f t="shared" si="4"/>
        <v>31240.2</v>
      </c>
      <c r="I32" s="846">
        <f>-10333.6-23110.6</f>
        <v>-33444.199999999997</v>
      </c>
      <c r="J32" s="88">
        <f t="shared" ref="J32:J37" si="5">H32+I32</f>
        <v>-2203.9999999999964</v>
      </c>
      <c r="K32" s="88">
        <f t="shared" ref="K32:K37" si="6">C32+J32</f>
        <v>121221.7</v>
      </c>
      <c r="M32" s="883"/>
    </row>
    <row r="33" spans="1:13" s="1168" customFormat="1" ht="9.9499999999999993" hidden="1" customHeight="1">
      <c r="A33" s="533" t="s">
        <v>1215</v>
      </c>
      <c r="B33" s="850"/>
      <c r="C33" s="534">
        <v>125711.6</v>
      </c>
      <c r="D33" s="847">
        <v>14599.7</v>
      </c>
      <c r="E33" s="847">
        <v>1293.2</v>
      </c>
      <c r="F33" s="847">
        <v>4235.3999999999996</v>
      </c>
      <c r="G33" s="847">
        <v>6465.7</v>
      </c>
      <c r="H33" s="847">
        <f t="shared" si="4"/>
        <v>26594.000000000004</v>
      </c>
      <c r="I33" s="1174">
        <v>-30727.600000000006</v>
      </c>
      <c r="J33" s="528">
        <f t="shared" si="5"/>
        <v>-4133.6000000000022</v>
      </c>
      <c r="K33" s="528">
        <f t="shared" si="6"/>
        <v>121578</v>
      </c>
      <c r="M33" s="883"/>
    </row>
    <row r="34" spans="1:13" s="1168" customFormat="1" ht="9.9499999999999993" hidden="1" customHeight="1">
      <c r="A34" s="956" t="s">
        <v>1216</v>
      </c>
      <c r="C34" s="42">
        <v>130380.30000000002</v>
      </c>
      <c r="D34" s="846">
        <v>13355.7</v>
      </c>
      <c r="E34" s="846">
        <v>1296</v>
      </c>
      <c r="F34" s="846">
        <v>4212.3</v>
      </c>
      <c r="G34" s="846">
        <v>6443.6</v>
      </c>
      <c r="H34" s="846">
        <f t="shared" si="4"/>
        <v>25307.599999999999</v>
      </c>
      <c r="I34" s="448">
        <v>-34249.299999999996</v>
      </c>
      <c r="J34" s="88">
        <f t="shared" si="5"/>
        <v>-8941.6999999999971</v>
      </c>
      <c r="K34" s="88">
        <f t="shared" si="6"/>
        <v>121438.60000000002</v>
      </c>
      <c r="M34" s="883"/>
    </row>
    <row r="35" spans="1:13" s="1168" customFormat="1" ht="9.9499999999999993" hidden="1" customHeight="1">
      <c r="A35" s="533" t="s">
        <v>1208</v>
      </c>
      <c r="B35" s="850"/>
      <c r="C35" s="534">
        <v>134649.70000000001</v>
      </c>
      <c r="D35" s="847">
        <v>6391.3</v>
      </c>
      <c r="E35" s="847">
        <v>1248.8</v>
      </c>
      <c r="F35" s="847">
        <v>4211.1000000000004</v>
      </c>
      <c r="G35" s="847">
        <v>7352.1</v>
      </c>
      <c r="H35" s="847">
        <f t="shared" si="4"/>
        <v>19203.300000000003</v>
      </c>
      <c r="I35" s="1174">
        <f>4556.8-3216.6-16783.7-3831.7-12865.4</f>
        <v>-32140.6</v>
      </c>
      <c r="J35" s="528">
        <f t="shared" si="5"/>
        <v>-12937.299999999996</v>
      </c>
      <c r="K35" s="528">
        <f t="shared" si="6"/>
        <v>121712.40000000002</v>
      </c>
      <c r="M35" s="883"/>
    </row>
    <row r="36" spans="1:13" s="1168" customFormat="1" ht="9.9499999999999993" hidden="1" customHeight="1">
      <c r="A36" s="956" t="s">
        <v>1217</v>
      </c>
      <c r="C36" s="88">
        <v>137961.29999999999</v>
      </c>
      <c r="D36" s="88">
        <v>3294.3</v>
      </c>
      <c r="E36" s="88">
        <v>1249.5</v>
      </c>
      <c r="F36" s="88">
        <v>4252.2</v>
      </c>
      <c r="G36" s="88">
        <v>6606</v>
      </c>
      <c r="H36" s="846">
        <f t="shared" si="4"/>
        <v>15402</v>
      </c>
      <c r="I36" s="88">
        <v>-31000</v>
      </c>
      <c r="J36" s="88">
        <f t="shared" si="5"/>
        <v>-15598</v>
      </c>
      <c r="K36" s="88">
        <f t="shared" si="6"/>
        <v>122363.29999999999</v>
      </c>
      <c r="M36" s="883"/>
    </row>
    <row r="37" spans="1:13" s="1168" customFormat="1" ht="9.9499999999999993" hidden="1" customHeight="1">
      <c r="A37" s="533" t="s">
        <v>1218</v>
      </c>
      <c r="B37" s="850"/>
      <c r="C37" s="847">
        <v>142295.5</v>
      </c>
      <c r="D37" s="847">
        <v>851</v>
      </c>
      <c r="E37" s="847">
        <v>1250.7</v>
      </c>
      <c r="F37" s="847">
        <v>4226.3999999999996</v>
      </c>
      <c r="G37" s="847">
        <v>6343.2</v>
      </c>
      <c r="H37" s="847">
        <f t="shared" si="4"/>
        <v>12671.3</v>
      </c>
      <c r="I37" s="847">
        <v>-31114.2</v>
      </c>
      <c r="J37" s="528">
        <f t="shared" si="5"/>
        <v>-18442.900000000001</v>
      </c>
      <c r="K37" s="528">
        <f t="shared" si="6"/>
        <v>123852.6</v>
      </c>
      <c r="M37" s="883"/>
    </row>
    <row r="38" spans="1:13" s="1168" customFormat="1" ht="9.9499999999999993" hidden="1" customHeight="1">
      <c r="A38" s="956" t="s">
        <v>1209</v>
      </c>
      <c r="C38" s="88">
        <v>147496.6</v>
      </c>
      <c r="D38" s="88">
        <v>3840.6</v>
      </c>
      <c r="E38" s="88">
        <v>1202.7</v>
      </c>
      <c r="F38" s="88">
        <v>4272.7</v>
      </c>
      <c r="G38" s="88">
        <v>6279.2</v>
      </c>
      <c r="H38" s="88">
        <f t="shared" si="4"/>
        <v>15595.2</v>
      </c>
      <c r="I38" s="88">
        <v>-33216.5</v>
      </c>
      <c r="J38" s="88">
        <f>H38+I38</f>
        <v>-17621.3</v>
      </c>
      <c r="K38" s="88">
        <f>C38+J38</f>
        <v>129875.3</v>
      </c>
      <c r="M38" s="883"/>
    </row>
    <row r="39" spans="1:13" s="1177" customFormat="1" ht="9.9499999999999993" customHeight="1">
      <c r="A39" s="1175" t="s">
        <v>2376</v>
      </c>
      <c r="B39" s="1176"/>
      <c r="C39" s="1069">
        <f>C51</f>
        <v>177401.3</v>
      </c>
      <c r="D39" s="1069">
        <f t="shared" ref="D39:K39" si="7">D51</f>
        <v>810.5</v>
      </c>
      <c r="E39" s="1069">
        <f t="shared" si="7"/>
        <v>2160.8000000000002</v>
      </c>
      <c r="F39" s="1069">
        <f t="shared" si="7"/>
        <v>4645.6000000000004</v>
      </c>
      <c r="G39" s="1069">
        <f t="shared" si="7"/>
        <v>5659.2</v>
      </c>
      <c r="H39" s="1069">
        <f t="shared" si="7"/>
        <v>13276.1</v>
      </c>
      <c r="I39" s="1069">
        <f t="shared" si="7"/>
        <v>-42194.9</v>
      </c>
      <c r="J39" s="1069">
        <f t="shared" si="7"/>
        <v>-28918.800000000003</v>
      </c>
      <c r="K39" s="1069">
        <f t="shared" si="7"/>
        <v>148482.5</v>
      </c>
      <c r="M39" s="1178"/>
    </row>
    <row r="40" spans="1:13" s="1168" customFormat="1" ht="9.9499999999999993" customHeight="1">
      <c r="A40" s="956" t="s">
        <v>1211</v>
      </c>
      <c r="C40" s="88">
        <v>150372.29999999999</v>
      </c>
      <c r="D40" s="88">
        <v>9931.7000000000007</v>
      </c>
      <c r="E40" s="88">
        <v>1187.2</v>
      </c>
      <c r="F40" s="88">
        <v>4425.3999999999996</v>
      </c>
      <c r="G40" s="88">
        <v>9149.5</v>
      </c>
      <c r="H40" s="88">
        <f t="shared" si="4"/>
        <v>24693.800000000003</v>
      </c>
      <c r="I40" s="88">
        <v>-29546.7</v>
      </c>
      <c r="J40" s="88">
        <f t="shared" ref="J40:J45" si="8">H40+I40</f>
        <v>-4852.8999999999978</v>
      </c>
      <c r="K40" s="88">
        <f t="shared" ref="K40:K51" si="9">C40+J40</f>
        <v>145519.4</v>
      </c>
      <c r="M40" s="883"/>
    </row>
    <row r="41" spans="1:13" s="1168" customFormat="1" ht="9.9499999999999993" customHeight="1">
      <c r="A41" s="533" t="s">
        <v>1212</v>
      </c>
      <c r="B41" s="850"/>
      <c r="C41" s="847">
        <v>152136.20000000001</v>
      </c>
      <c r="D41" s="847">
        <v>822.6</v>
      </c>
      <c r="E41" s="847">
        <v>1139.9000000000001</v>
      </c>
      <c r="F41" s="847">
        <v>4432.6000000000004</v>
      </c>
      <c r="G41" s="847">
        <v>6753.7</v>
      </c>
      <c r="H41" s="847">
        <f t="shared" si="4"/>
        <v>13148.8</v>
      </c>
      <c r="I41" s="847">
        <v>-28448.400000000001</v>
      </c>
      <c r="J41" s="528">
        <f t="shared" si="8"/>
        <v>-15299.600000000002</v>
      </c>
      <c r="K41" s="528">
        <f t="shared" si="9"/>
        <v>136836.6</v>
      </c>
      <c r="M41" s="883"/>
    </row>
    <row r="42" spans="1:13" s="1168" customFormat="1" ht="9.9499999999999993" customHeight="1">
      <c r="A42" s="956" t="s">
        <v>1206</v>
      </c>
      <c r="C42" s="88">
        <v>154043.79999999999</v>
      </c>
      <c r="D42" s="88">
        <v>-2395.5</v>
      </c>
      <c r="E42" s="88">
        <v>1092.8</v>
      </c>
      <c r="F42" s="88">
        <v>4513</v>
      </c>
      <c r="G42" s="88">
        <v>12857.5</v>
      </c>
      <c r="H42" s="88">
        <f t="shared" si="4"/>
        <v>16067.8</v>
      </c>
      <c r="I42" s="88">
        <v>-26479.1</v>
      </c>
      <c r="J42" s="88">
        <f t="shared" si="8"/>
        <v>-10411.299999999999</v>
      </c>
      <c r="K42" s="88">
        <f t="shared" si="9"/>
        <v>143632.5</v>
      </c>
      <c r="M42" s="883"/>
    </row>
    <row r="43" spans="1:13" s="1168" customFormat="1" ht="9.9499999999999993" customHeight="1">
      <c r="A43" s="533" t="s">
        <v>1213</v>
      </c>
      <c r="B43" s="850"/>
      <c r="C43" s="847">
        <v>154510.20000000001</v>
      </c>
      <c r="D43" s="847">
        <v>-6420.5</v>
      </c>
      <c r="E43" s="847">
        <v>1085.5999999999999</v>
      </c>
      <c r="F43" s="847">
        <v>4485</v>
      </c>
      <c r="G43" s="847">
        <v>10560.6</v>
      </c>
      <c r="H43" s="847">
        <f t="shared" si="4"/>
        <v>9710.7000000000007</v>
      </c>
      <c r="I43" s="847">
        <v>-24157.1</v>
      </c>
      <c r="J43" s="528">
        <f t="shared" si="8"/>
        <v>-14446.399999999998</v>
      </c>
      <c r="K43" s="528">
        <f t="shared" si="9"/>
        <v>140063.80000000002</v>
      </c>
      <c r="M43" s="883"/>
    </row>
    <row r="44" spans="1:13" s="1168" customFormat="1" ht="9.9499999999999993" customHeight="1">
      <c r="A44" s="956" t="s">
        <v>1214</v>
      </c>
      <c r="C44" s="88">
        <v>153753.60000000001</v>
      </c>
      <c r="D44" s="88">
        <v>-4858.6000000000004</v>
      </c>
      <c r="E44" s="88">
        <v>2152.3000000000002</v>
      </c>
      <c r="F44" s="88">
        <v>4503.5</v>
      </c>
      <c r="G44" s="88">
        <v>6736</v>
      </c>
      <c r="H44" s="88">
        <f t="shared" si="4"/>
        <v>8533.2000000000007</v>
      </c>
      <c r="I44" s="88">
        <v>-24468.400000000001</v>
      </c>
      <c r="J44" s="88">
        <f t="shared" si="8"/>
        <v>-15935.2</v>
      </c>
      <c r="K44" s="88">
        <f t="shared" si="9"/>
        <v>137818.4</v>
      </c>
      <c r="M44" s="883"/>
    </row>
    <row r="45" spans="1:13" s="1168" customFormat="1" ht="9.9499999999999993" customHeight="1">
      <c r="A45" s="533" t="s">
        <v>1207</v>
      </c>
      <c r="B45" s="850"/>
      <c r="C45" s="847">
        <v>155959.20000000001</v>
      </c>
      <c r="D45" s="847">
        <v>-6984.9</v>
      </c>
      <c r="E45" s="847">
        <v>2107.6</v>
      </c>
      <c r="F45" s="847">
        <v>4565.2</v>
      </c>
      <c r="G45" s="847">
        <v>9327.7000000000007</v>
      </c>
      <c r="H45" s="847">
        <f t="shared" si="4"/>
        <v>9015.6000000000022</v>
      </c>
      <c r="I45" s="847">
        <v>-25830.400000000001</v>
      </c>
      <c r="J45" s="528">
        <f t="shared" si="8"/>
        <v>-16814.8</v>
      </c>
      <c r="K45" s="528">
        <f t="shared" si="9"/>
        <v>139144.40000000002</v>
      </c>
      <c r="M45" s="883"/>
    </row>
    <row r="46" spans="1:13" s="1168" customFormat="1" ht="9.9499999999999993" customHeight="1">
      <c r="A46" s="956" t="s">
        <v>1215</v>
      </c>
      <c r="C46" s="88">
        <v>156818.1</v>
      </c>
      <c r="D46" s="88">
        <v>-6795</v>
      </c>
      <c r="E46" s="88">
        <v>2072.1</v>
      </c>
      <c r="F46" s="88">
        <v>4631.8</v>
      </c>
      <c r="G46" s="88">
        <v>8272.9</v>
      </c>
      <c r="H46" s="88">
        <f t="shared" si="4"/>
        <v>8181.8</v>
      </c>
      <c r="I46" s="88">
        <v>-25367.1</v>
      </c>
      <c r="J46" s="88">
        <v>-17185.3</v>
      </c>
      <c r="K46" s="88">
        <f t="shared" si="9"/>
        <v>139632.80000000002</v>
      </c>
      <c r="M46" s="883"/>
    </row>
    <row r="47" spans="1:13" s="1168" customFormat="1" ht="9.9499999999999993" customHeight="1">
      <c r="A47" s="533" t="s">
        <v>1216</v>
      </c>
      <c r="B47" s="850"/>
      <c r="C47" s="847">
        <v>160880.70000000001</v>
      </c>
      <c r="D47" s="847">
        <v>-6521</v>
      </c>
      <c r="E47" s="847">
        <v>2070.6999999999998</v>
      </c>
      <c r="F47" s="847">
        <v>4579.1000000000004</v>
      </c>
      <c r="G47" s="847">
        <v>7539.4</v>
      </c>
      <c r="H47" s="847">
        <f t="shared" si="4"/>
        <v>7668.2</v>
      </c>
      <c r="I47" s="847">
        <v>-28536.7</v>
      </c>
      <c r="J47" s="528">
        <v>-20868.5</v>
      </c>
      <c r="K47" s="528">
        <f t="shared" si="9"/>
        <v>140012.20000000001</v>
      </c>
      <c r="M47" s="883"/>
    </row>
    <row r="48" spans="1:13" s="825" customFormat="1" ht="9.9499999999999993" customHeight="1">
      <c r="A48" s="431" t="s">
        <v>1208</v>
      </c>
      <c r="C48" s="852">
        <v>164925.4</v>
      </c>
      <c r="D48" s="852">
        <v>-12831.1</v>
      </c>
      <c r="E48" s="852">
        <v>2073.1999999999998</v>
      </c>
      <c r="F48" s="852">
        <v>4598.7</v>
      </c>
      <c r="G48" s="852">
        <v>10236.9</v>
      </c>
      <c r="H48" s="852">
        <f t="shared" si="4"/>
        <v>4077.699999999998</v>
      </c>
      <c r="I48" s="852">
        <v>-29151.3</v>
      </c>
      <c r="J48" s="433">
        <f>H48+I48</f>
        <v>-25073.600000000002</v>
      </c>
      <c r="K48" s="433">
        <f t="shared" si="9"/>
        <v>139851.79999999999</v>
      </c>
      <c r="M48" s="824"/>
    </row>
    <row r="49" spans="1:13" s="825" customFormat="1" ht="9.9499999999999993" customHeight="1">
      <c r="A49" s="519" t="s">
        <v>1217</v>
      </c>
      <c r="B49" s="1217"/>
      <c r="C49" s="845">
        <v>169107.7</v>
      </c>
      <c r="D49" s="845">
        <v>-14328.6</v>
      </c>
      <c r="E49" s="845">
        <v>2069.8000000000002</v>
      </c>
      <c r="F49" s="845">
        <v>4627.8</v>
      </c>
      <c r="G49" s="845">
        <v>5671.6</v>
      </c>
      <c r="H49" s="852">
        <f t="shared" si="4"/>
        <v>-1959.3999999999987</v>
      </c>
      <c r="I49" s="845">
        <v>-28095.4</v>
      </c>
      <c r="J49" s="521">
        <f>H49+I49</f>
        <v>-30054.799999999999</v>
      </c>
      <c r="K49" s="521">
        <f t="shared" si="9"/>
        <v>139052.90000000002</v>
      </c>
      <c r="M49" s="824"/>
    </row>
    <row r="50" spans="1:13" s="825" customFormat="1" ht="9.9499999999999993" customHeight="1">
      <c r="A50" s="431" t="s">
        <v>1218</v>
      </c>
      <c r="C50" s="852">
        <v>171467.4</v>
      </c>
      <c r="D50" s="852">
        <v>-6825</v>
      </c>
      <c r="E50" s="852">
        <v>2164.8000000000002</v>
      </c>
      <c r="F50" s="852">
        <v>4567.2</v>
      </c>
      <c r="G50" s="852">
        <v>5681.8</v>
      </c>
      <c r="H50" s="852">
        <f t="shared" si="4"/>
        <v>5588.8</v>
      </c>
      <c r="I50" s="852">
        <v>-34072.199999999997</v>
      </c>
      <c r="J50" s="433">
        <f>H50+I50</f>
        <v>-28483.399999999998</v>
      </c>
      <c r="K50" s="433">
        <f t="shared" si="9"/>
        <v>142984</v>
      </c>
      <c r="M50" s="824"/>
    </row>
    <row r="51" spans="1:13" s="825" customFormat="1" ht="9.9499999999999993" customHeight="1">
      <c r="A51" s="519" t="s">
        <v>1209</v>
      </c>
      <c r="B51" s="1217"/>
      <c r="C51" s="845">
        <v>177401.3</v>
      </c>
      <c r="D51" s="845">
        <v>810.5</v>
      </c>
      <c r="E51" s="845">
        <v>2160.8000000000002</v>
      </c>
      <c r="F51" s="845">
        <v>4645.6000000000004</v>
      </c>
      <c r="G51" s="845">
        <v>5659.2</v>
      </c>
      <c r="H51" s="845">
        <f t="shared" si="4"/>
        <v>13276.1</v>
      </c>
      <c r="I51" s="845">
        <v>-42194.9</v>
      </c>
      <c r="J51" s="521">
        <f>H51+I51</f>
        <v>-28918.800000000003</v>
      </c>
      <c r="K51" s="521">
        <f t="shared" si="9"/>
        <v>148482.5</v>
      </c>
      <c r="M51" s="824"/>
    </row>
    <row r="52" spans="1:13" s="825" customFormat="1" ht="13.5" customHeight="1">
      <c r="A52" s="931" t="s">
        <v>2608</v>
      </c>
      <c r="C52" s="1061">
        <f>C64</f>
        <v>218904.1</v>
      </c>
      <c r="D52" s="1061">
        <f t="shared" ref="D52:K52" si="10">D64</f>
        <v>13373.7</v>
      </c>
      <c r="E52" s="1061">
        <f t="shared" si="10"/>
        <v>2015.5</v>
      </c>
      <c r="F52" s="1061">
        <f t="shared" si="10"/>
        <v>4966.8999999999996</v>
      </c>
      <c r="G52" s="1061">
        <f t="shared" si="10"/>
        <v>6024.4</v>
      </c>
      <c r="H52" s="1061">
        <f t="shared" si="10"/>
        <v>26380.5</v>
      </c>
      <c r="I52" s="1061">
        <f t="shared" si="10"/>
        <v>-52083.3</v>
      </c>
      <c r="J52" s="1061">
        <f t="shared" si="10"/>
        <v>-25702.800000000003</v>
      </c>
      <c r="K52" s="1061">
        <f t="shared" si="10"/>
        <v>193201.3</v>
      </c>
      <c r="M52" s="824"/>
    </row>
    <row r="53" spans="1:13" s="825" customFormat="1" ht="10.5" customHeight="1">
      <c r="A53" s="519" t="s">
        <v>1211</v>
      </c>
      <c r="B53" s="1217"/>
      <c r="C53" s="845">
        <v>184570.8</v>
      </c>
      <c r="D53" s="845">
        <v>3032.3</v>
      </c>
      <c r="E53" s="845">
        <v>2238.6999999999998</v>
      </c>
      <c r="F53" s="845">
        <v>4607.6000000000004</v>
      </c>
      <c r="G53" s="845">
        <v>6101.1</v>
      </c>
      <c r="H53" s="845">
        <f t="shared" ref="H53:H58" si="11">D53+E53+F53+G53</f>
        <v>15979.7</v>
      </c>
      <c r="I53" s="845">
        <v>-44916.5</v>
      </c>
      <c r="J53" s="521">
        <f t="shared" ref="J53:J58" si="12">H53+I53</f>
        <v>-28936.799999999999</v>
      </c>
      <c r="K53" s="521">
        <f t="shared" ref="K53:K58" si="13">C53+J53</f>
        <v>155634</v>
      </c>
      <c r="M53" s="824"/>
    </row>
    <row r="54" spans="1:13" s="825" customFormat="1" ht="10.5" customHeight="1">
      <c r="A54" s="431" t="s">
        <v>1212</v>
      </c>
      <c r="C54" s="852">
        <v>186355.4</v>
      </c>
      <c r="D54" s="852">
        <v>-6762.2</v>
      </c>
      <c r="E54" s="852">
        <v>2174.6</v>
      </c>
      <c r="F54" s="852">
        <v>4595.7</v>
      </c>
      <c r="G54" s="852">
        <v>5832.6</v>
      </c>
      <c r="H54" s="852">
        <f t="shared" si="11"/>
        <v>5840.7</v>
      </c>
      <c r="I54" s="852">
        <v>-40362</v>
      </c>
      <c r="J54" s="433">
        <f t="shared" si="12"/>
        <v>-34521.300000000003</v>
      </c>
      <c r="K54" s="433">
        <f t="shared" si="13"/>
        <v>151834.09999999998</v>
      </c>
      <c r="M54" s="824"/>
    </row>
    <row r="55" spans="1:13" s="825" customFormat="1" ht="12" customHeight="1">
      <c r="A55" s="519" t="s">
        <v>1206</v>
      </c>
      <c r="B55" s="1217"/>
      <c r="C55" s="845">
        <v>191613.9</v>
      </c>
      <c r="D55" s="845">
        <v>-4916.6000000000004</v>
      </c>
      <c r="E55" s="845">
        <v>2127.8000000000002</v>
      </c>
      <c r="F55" s="845">
        <v>4701.7</v>
      </c>
      <c r="G55" s="845">
        <v>6044</v>
      </c>
      <c r="H55" s="845">
        <f t="shared" si="11"/>
        <v>7956.9</v>
      </c>
      <c r="I55" s="845">
        <v>-36915.1</v>
      </c>
      <c r="J55" s="521">
        <f t="shared" si="12"/>
        <v>-28958.199999999997</v>
      </c>
      <c r="K55" s="521">
        <f t="shared" si="13"/>
        <v>162655.70000000001</v>
      </c>
      <c r="M55" s="824"/>
    </row>
    <row r="56" spans="1:13" s="825" customFormat="1" ht="10.5" customHeight="1">
      <c r="A56" s="431" t="s">
        <v>1213</v>
      </c>
      <c r="C56" s="852">
        <v>191643.1</v>
      </c>
      <c r="D56" s="852">
        <v>-5215.6000000000004</v>
      </c>
      <c r="E56" s="852">
        <v>2123.8000000000002</v>
      </c>
      <c r="F56" s="852">
        <v>4776.2</v>
      </c>
      <c r="G56" s="852">
        <v>6045.5</v>
      </c>
      <c r="H56" s="852">
        <f t="shared" si="11"/>
        <v>7729.9</v>
      </c>
      <c r="I56" s="852">
        <v>-35373.300000000003</v>
      </c>
      <c r="J56" s="433">
        <f t="shared" si="12"/>
        <v>-27643.4</v>
      </c>
      <c r="K56" s="433">
        <f t="shared" si="13"/>
        <v>163999.70000000001</v>
      </c>
      <c r="M56" s="824"/>
    </row>
    <row r="57" spans="1:13" s="825" customFormat="1" ht="10.5" customHeight="1">
      <c r="A57" s="519" t="s">
        <v>1214</v>
      </c>
      <c r="B57" s="1217"/>
      <c r="C57" s="845">
        <v>193250.9</v>
      </c>
      <c r="D57" s="845">
        <v>-4296.5</v>
      </c>
      <c r="E57" s="845">
        <v>2116.1999999999998</v>
      </c>
      <c r="F57" s="845">
        <v>4817.5</v>
      </c>
      <c r="G57" s="845">
        <v>6102</v>
      </c>
      <c r="H57" s="845">
        <f t="shared" si="11"/>
        <v>8739.2000000000007</v>
      </c>
      <c r="I57" s="845">
        <v>-44339.6</v>
      </c>
      <c r="J57" s="521">
        <f t="shared" si="12"/>
        <v>-35600.399999999994</v>
      </c>
      <c r="K57" s="521">
        <f t="shared" si="13"/>
        <v>157650.5</v>
      </c>
      <c r="M57" s="824"/>
    </row>
    <row r="58" spans="1:13" s="825" customFormat="1" ht="10.5" customHeight="1">
      <c r="A58" s="431" t="s">
        <v>1207</v>
      </c>
      <c r="C58" s="852">
        <v>196508</v>
      </c>
      <c r="D58" s="852">
        <v>-3321.5</v>
      </c>
      <c r="E58" s="852">
        <v>2110</v>
      </c>
      <c r="F58" s="852">
        <v>4890.3999999999996</v>
      </c>
      <c r="G58" s="852">
        <v>5946.3</v>
      </c>
      <c r="H58" s="852">
        <f t="shared" si="11"/>
        <v>9625.2000000000007</v>
      </c>
      <c r="I58" s="852">
        <v>-45918.400000000001</v>
      </c>
      <c r="J58" s="433">
        <f t="shared" si="12"/>
        <v>-36293.199999999997</v>
      </c>
      <c r="K58" s="433">
        <f t="shared" si="13"/>
        <v>160214.79999999999</v>
      </c>
      <c r="M58" s="824"/>
    </row>
    <row r="59" spans="1:13" s="825" customFormat="1" ht="11.25" customHeight="1">
      <c r="A59" s="519" t="s">
        <v>1215</v>
      </c>
      <c r="B59" s="1217"/>
      <c r="C59" s="845">
        <v>197995.7</v>
      </c>
      <c r="D59" s="845">
        <v>-5345.9</v>
      </c>
      <c r="E59" s="845">
        <v>2100.5</v>
      </c>
      <c r="F59" s="845">
        <v>4850.6000000000004</v>
      </c>
      <c r="G59" s="845">
        <v>5969</v>
      </c>
      <c r="H59" s="845">
        <f t="shared" ref="H59:H71" si="14">D59+E59+F59+G59</f>
        <v>7574.2000000000007</v>
      </c>
      <c r="I59" s="845">
        <v>-43801.5</v>
      </c>
      <c r="J59" s="521">
        <f t="shared" ref="J59:J64" si="15">H59+I59</f>
        <v>-36227.300000000003</v>
      </c>
      <c r="K59" s="521">
        <f t="shared" ref="K59:K64" si="16">C59+J59</f>
        <v>161768.40000000002</v>
      </c>
      <c r="M59" s="824"/>
    </row>
    <row r="60" spans="1:13" s="825" customFormat="1" ht="12" customHeight="1">
      <c r="A60" s="431" t="s">
        <v>1216</v>
      </c>
      <c r="C60" s="852">
        <v>203032.4</v>
      </c>
      <c r="D60" s="852">
        <v>1100.9000000000001</v>
      </c>
      <c r="E60" s="852">
        <v>2081.4</v>
      </c>
      <c r="F60" s="852">
        <v>4823.3999999999996</v>
      </c>
      <c r="G60" s="852">
        <v>5956.5</v>
      </c>
      <c r="H60" s="852">
        <f t="shared" si="14"/>
        <v>13962.2</v>
      </c>
      <c r="I60" s="852">
        <v>-55271.6</v>
      </c>
      <c r="J60" s="433">
        <f t="shared" si="15"/>
        <v>-41309.399999999994</v>
      </c>
      <c r="K60" s="433">
        <f t="shared" si="16"/>
        <v>161723</v>
      </c>
      <c r="M60" s="824"/>
    </row>
    <row r="61" spans="1:13" s="825" customFormat="1" ht="10.5" customHeight="1">
      <c r="A61" s="519" t="s">
        <v>1208</v>
      </c>
      <c r="B61" s="1217"/>
      <c r="C61" s="845">
        <v>207417.5</v>
      </c>
      <c r="D61" s="845">
        <v>4723.6000000000004</v>
      </c>
      <c r="E61" s="845">
        <v>2031.3</v>
      </c>
      <c r="F61" s="845">
        <v>4813.8999999999996</v>
      </c>
      <c r="G61" s="845">
        <v>5347.9</v>
      </c>
      <c r="H61" s="845">
        <f t="shared" si="14"/>
        <v>16916.699999999997</v>
      </c>
      <c r="I61" s="845">
        <v>-62452.5</v>
      </c>
      <c r="J61" s="521">
        <f t="shared" si="15"/>
        <v>-45535.8</v>
      </c>
      <c r="K61" s="521">
        <f t="shared" si="16"/>
        <v>161881.70000000001</v>
      </c>
      <c r="M61" s="824"/>
    </row>
    <row r="62" spans="1:13" s="825" customFormat="1" ht="11.25" customHeight="1">
      <c r="A62" s="431" t="s">
        <v>1217</v>
      </c>
      <c r="C62" s="852">
        <v>210707.20000000001</v>
      </c>
      <c r="D62" s="852">
        <v>831</v>
      </c>
      <c r="E62" s="852">
        <v>2035.6</v>
      </c>
      <c r="F62" s="852">
        <v>4847.3</v>
      </c>
      <c r="G62" s="852">
        <v>5430.4</v>
      </c>
      <c r="H62" s="852">
        <f t="shared" si="14"/>
        <v>13144.3</v>
      </c>
      <c r="I62" s="852">
        <v>-58628</v>
      </c>
      <c r="J62" s="433">
        <f t="shared" si="15"/>
        <v>-45483.7</v>
      </c>
      <c r="K62" s="433">
        <f t="shared" si="16"/>
        <v>165223.5</v>
      </c>
      <c r="M62" s="824"/>
    </row>
    <row r="63" spans="1:13" s="825" customFormat="1" ht="11.25" customHeight="1">
      <c r="A63" s="533" t="s">
        <v>1218</v>
      </c>
      <c r="B63" s="1217"/>
      <c r="C63" s="845">
        <v>211693.2</v>
      </c>
      <c r="D63" s="845">
        <v>2794.7</v>
      </c>
      <c r="E63" s="845">
        <v>2015.1</v>
      </c>
      <c r="F63" s="845">
        <v>4860.3</v>
      </c>
      <c r="G63" s="845">
        <v>5403.5</v>
      </c>
      <c r="H63" s="845">
        <f t="shared" si="14"/>
        <v>15073.599999999999</v>
      </c>
      <c r="I63" s="845">
        <v>-53863.9</v>
      </c>
      <c r="J63" s="521">
        <f t="shared" si="15"/>
        <v>-38790.300000000003</v>
      </c>
      <c r="K63" s="521">
        <f t="shared" si="16"/>
        <v>172902.90000000002</v>
      </c>
      <c r="M63" s="824"/>
    </row>
    <row r="64" spans="1:13" s="825" customFormat="1" ht="11.25" customHeight="1">
      <c r="A64" s="1460" t="s">
        <v>1209</v>
      </c>
      <c r="C64" s="852">
        <v>218904.1</v>
      </c>
      <c r="D64" s="852">
        <v>13373.7</v>
      </c>
      <c r="E64" s="852">
        <v>2015.5</v>
      </c>
      <c r="F64" s="852">
        <v>4966.8999999999996</v>
      </c>
      <c r="G64" s="852">
        <v>6024.4</v>
      </c>
      <c r="H64" s="852">
        <f t="shared" si="14"/>
        <v>26380.5</v>
      </c>
      <c r="I64" s="852">
        <v>-52083.3</v>
      </c>
      <c r="J64" s="433">
        <f t="shared" si="15"/>
        <v>-25702.800000000003</v>
      </c>
      <c r="K64" s="433">
        <f t="shared" si="16"/>
        <v>193201.3</v>
      </c>
      <c r="M64" s="824"/>
    </row>
    <row r="65" spans="1:13" s="825" customFormat="1" ht="11.25" customHeight="1">
      <c r="A65" s="639" t="s">
        <v>2809</v>
      </c>
      <c r="B65" s="1217"/>
      <c r="C65" s="845"/>
      <c r="D65" s="845"/>
      <c r="E65" s="845"/>
      <c r="F65" s="845"/>
      <c r="G65" s="845"/>
      <c r="H65" s="845"/>
      <c r="I65" s="845"/>
      <c r="J65" s="521"/>
      <c r="K65" s="521"/>
      <c r="M65" s="824"/>
    </row>
    <row r="66" spans="1:13" s="825" customFormat="1" ht="12.75" customHeight="1">
      <c r="A66" s="676" t="s">
        <v>1211</v>
      </c>
      <c r="C66" s="852">
        <v>222971.6</v>
      </c>
      <c r="D66" s="852">
        <v>-254.7</v>
      </c>
      <c r="E66" s="852">
        <v>2006.8</v>
      </c>
      <c r="F66" s="852">
        <v>4923.1000000000004</v>
      </c>
      <c r="G66" s="852">
        <v>4936.7</v>
      </c>
      <c r="H66" s="852">
        <f t="shared" si="14"/>
        <v>11611.900000000001</v>
      </c>
      <c r="I66" s="852">
        <v>-52725.3</v>
      </c>
      <c r="J66" s="433">
        <f t="shared" ref="J66:J71" si="17">H66+I66</f>
        <v>-41113.4</v>
      </c>
      <c r="K66" s="433">
        <f t="shared" ref="K66:K71" si="18">C66+J66</f>
        <v>181858.2</v>
      </c>
      <c r="M66" s="824"/>
    </row>
    <row r="67" spans="1:13" s="825" customFormat="1" ht="12.75" customHeight="1">
      <c r="A67" s="605" t="s">
        <v>1212</v>
      </c>
      <c r="B67" s="1217"/>
      <c r="C67" s="845">
        <v>227994.8</v>
      </c>
      <c r="D67" s="845">
        <v>-1519.1</v>
      </c>
      <c r="E67" s="845">
        <v>2009.6</v>
      </c>
      <c r="F67" s="845">
        <v>4820.5</v>
      </c>
      <c r="G67" s="845">
        <v>5256.8</v>
      </c>
      <c r="H67" s="845">
        <f t="shared" si="14"/>
        <v>10567.8</v>
      </c>
      <c r="I67" s="845">
        <v>-55844</v>
      </c>
      <c r="J67" s="521">
        <f t="shared" si="17"/>
        <v>-45276.2</v>
      </c>
      <c r="K67" s="521">
        <f t="shared" si="18"/>
        <v>182718.59999999998</v>
      </c>
      <c r="M67" s="824"/>
    </row>
    <row r="68" spans="1:13" s="825" customFormat="1" ht="12.75" customHeight="1">
      <c r="A68" s="480" t="s">
        <v>1206</v>
      </c>
      <c r="C68" s="852">
        <v>233071.6</v>
      </c>
      <c r="D68" s="852">
        <v>1004.4</v>
      </c>
      <c r="E68" s="852">
        <v>1986.2</v>
      </c>
      <c r="F68" s="852">
        <v>4830.8</v>
      </c>
      <c r="G68" s="852">
        <v>5228.3999999999996</v>
      </c>
      <c r="H68" s="852">
        <f t="shared" si="14"/>
        <v>13049.8</v>
      </c>
      <c r="I68" s="852">
        <v>-56313.3</v>
      </c>
      <c r="J68" s="433">
        <f t="shared" si="17"/>
        <v>-43263.5</v>
      </c>
      <c r="K68" s="433">
        <f t="shared" si="18"/>
        <v>189808.1</v>
      </c>
      <c r="M68" s="824"/>
    </row>
    <row r="69" spans="1:13" s="825" customFormat="1" ht="12.75" customHeight="1">
      <c r="A69" s="605" t="s">
        <v>1213</v>
      </c>
      <c r="B69" s="1217"/>
      <c r="C69" s="845">
        <v>234188.5</v>
      </c>
      <c r="D69" s="845">
        <v>1350.8</v>
      </c>
      <c r="E69" s="845">
        <v>1988.9</v>
      </c>
      <c r="F69" s="845">
        <v>4860.5</v>
      </c>
      <c r="G69" s="845">
        <v>5210.7</v>
      </c>
      <c r="H69" s="845">
        <f t="shared" si="14"/>
        <v>13410.900000000001</v>
      </c>
      <c r="I69" s="845">
        <v>-60950.9</v>
      </c>
      <c r="J69" s="521">
        <f t="shared" si="17"/>
        <v>-47540</v>
      </c>
      <c r="K69" s="521">
        <f t="shared" si="18"/>
        <v>186648.5</v>
      </c>
      <c r="M69" s="824"/>
    </row>
    <row r="70" spans="1:13" s="825" customFormat="1" ht="12.75" customHeight="1">
      <c r="A70" s="480" t="s">
        <v>1214</v>
      </c>
      <c r="C70" s="852">
        <v>233489.3</v>
      </c>
      <c r="D70" s="852">
        <v>3205.6</v>
      </c>
      <c r="E70" s="852">
        <v>1994</v>
      </c>
      <c r="F70" s="852">
        <v>4877.1000000000004</v>
      </c>
      <c r="G70" s="852">
        <v>4923.3999999999996</v>
      </c>
      <c r="H70" s="852">
        <f t="shared" si="14"/>
        <v>15000.1</v>
      </c>
      <c r="I70" s="852">
        <v>-61565.599999999999</v>
      </c>
      <c r="J70" s="433">
        <f t="shared" si="17"/>
        <v>-46565.5</v>
      </c>
      <c r="K70" s="433">
        <f t="shared" si="18"/>
        <v>186923.8</v>
      </c>
      <c r="M70" s="824"/>
    </row>
    <row r="71" spans="1:13" s="825" customFormat="1" ht="12.75" customHeight="1" thickBot="1">
      <c r="A71" s="1343" t="s">
        <v>1207</v>
      </c>
      <c r="B71" s="1582"/>
      <c r="C71" s="1568">
        <v>235538.8</v>
      </c>
      <c r="D71" s="1568">
        <v>4872.5</v>
      </c>
      <c r="E71" s="1568">
        <v>1926.2</v>
      </c>
      <c r="F71" s="1568">
        <v>4921.2</v>
      </c>
      <c r="G71" s="1568">
        <v>4885</v>
      </c>
      <c r="H71" s="1568">
        <f t="shared" si="14"/>
        <v>16604.900000000001</v>
      </c>
      <c r="I71" s="1568">
        <v>-60645.5</v>
      </c>
      <c r="J71" s="1569">
        <f t="shared" si="17"/>
        <v>-44040.6</v>
      </c>
      <c r="K71" s="1569">
        <f t="shared" si="18"/>
        <v>191498.19999999998</v>
      </c>
      <c r="M71" s="824"/>
    </row>
    <row r="72" spans="1:13" s="420" customFormat="1" ht="11.85" customHeight="1">
      <c r="A72" s="979" t="s">
        <v>509</v>
      </c>
      <c r="B72" s="979" t="s">
        <v>471</v>
      </c>
      <c r="C72" s="1833" t="s">
        <v>1390</v>
      </c>
      <c r="D72" s="1833"/>
      <c r="E72" s="1833"/>
      <c r="F72" s="1833"/>
      <c r="G72" s="1833"/>
      <c r="H72" s="1833"/>
      <c r="I72" s="1833"/>
      <c r="J72" s="1833"/>
      <c r="K72" s="1833"/>
      <c r="L72" s="1478"/>
    </row>
    <row r="73" spans="1:13" s="420" customFormat="1" ht="11.85" customHeight="1">
      <c r="A73" s="979"/>
      <c r="B73" s="979"/>
      <c r="C73" s="1833" t="s">
        <v>2857</v>
      </c>
      <c r="D73" s="1833"/>
      <c r="E73" s="1833"/>
      <c r="F73" s="1833"/>
      <c r="G73" s="1833"/>
      <c r="H73" s="1833"/>
      <c r="I73" s="1833"/>
      <c r="J73" s="1833"/>
      <c r="K73" s="1833"/>
      <c r="L73" s="1478"/>
    </row>
    <row r="74" spans="1:13" s="420" customFormat="1" ht="9" customHeight="1">
      <c r="A74" s="979" t="s">
        <v>470</v>
      </c>
      <c r="B74" s="979" t="s">
        <v>471</v>
      </c>
      <c r="C74" s="1840" t="s">
        <v>494</v>
      </c>
      <c r="D74" s="1840"/>
      <c r="E74" s="1840"/>
      <c r="F74" s="1840"/>
      <c r="G74" s="1840"/>
      <c r="H74" s="1840"/>
      <c r="I74" s="1840"/>
      <c r="J74" s="1840"/>
      <c r="K74" s="1840"/>
    </row>
    <row r="75" spans="1:13" ht="9.75" customHeight="1">
      <c r="C75" s="420"/>
    </row>
  </sheetData>
  <mergeCells count="17">
    <mergeCell ref="J3:J6"/>
    <mergeCell ref="C74:K74"/>
    <mergeCell ref="D4:D6"/>
    <mergeCell ref="A3:B7"/>
    <mergeCell ref="C73:K73"/>
    <mergeCell ref="A1:I1"/>
    <mergeCell ref="C72:K72"/>
    <mergeCell ref="G4:G6"/>
    <mergeCell ref="H4:H6"/>
    <mergeCell ref="C3:C6"/>
    <mergeCell ref="D3:H3"/>
    <mergeCell ref="I3:I6"/>
    <mergeCell ref="J1:K1"/>
    <mergeCell ref="J2:K2"/>
    <mergeCell ref="E4:E6"/>
    <mergeCell ref="F4:F6"/>
    <mergeCell ref="K3:K6"/>
  </mergeCells>
  <phoneticPr fontId="58" type="noConversion"/>
  <conditionalFormatting sqref="J32:J35 C26:K26 J33:K35 H32:H37 H41 C8:J31 K8:K35 H53:H71 H43:H51 B8:B71 A8:A65">
    <cfRule type="expression" dxfId="18" priority="35" stopIfTrue="1">
      <formula>MOD(ROW(),2)=1</formula>
    </cfRule>
    <cfRule type="expression" priority="36" stopIfTrue="1">
      <formula>MOD(ROW(),2)=1</formula>
    </cfRule>
  </conditionalFormatting>
  <conditionalFormatting sqref="A40:A65">
    <cfRule type="expression" priority="32" stopIfTrue="1">
      <formula>MOD(row,0)=0</formula>
    </cfRule>
  </conditionalFormatting>
  <conditionalFormatting sqref="A43:A65">
    <cfRule type="expression" priority="27" stopIfTrue="1">
      <formula>MOD((((#REF!))),0)=0</formula>
    </cfRule>
  </conditionalFormatting>
  <conditionalFormatting sqref="A64:A65">
    <cfRule type="expression" priority="22" stopIfTrue="1">
      <formula>MOD(row,0)=0</formula>
    </cfRule>
  </conditionalFormatting>
  <conditionalFormatting sqref="A64:A65">
    <cfRule type="expression" dxfId="17" priority="21" stopIfTrue="1">
      <formula>MOD(ROW(),2)=1</formula>
    </cfRule>
  </conditionalFormatting>
  <conditionalFormatting sqref="A64:A65">
    <cfRule type="expression" dxfId="16" priority="19" stopIfTrue="1">
      <formula>MOD(ROW(),2)=1</formula>
    </cfRule>
    <cfRule type="expression" priority="20" stopIfTrue="1">
      <formula>MOD(ROW(),2)=1</formula>
    </cfRule>
  </conditionalFormatting>
  <conditionalFormatting sqref="A64:A65">
    <cfRule type="expression" priority="18" stopIfTrue="1">
      <formula>MOD((((#REF!))),0)=0</formula>
    </cfRule>
  </conditionalFormatting>
  <conditionalFormatting sqref="A64:A65">
    <cfRule type="expression" dxfId="15" priority="17" stopIfTrue="1">
      <formula>MOD(ROW(),2)=1</formula>
    </cfRule>
  </conditionalFormatting>
  <conditionalFormatting sqref="A64:A65">
    <cfRule type="expression" dxfId="14" priority="15" stopIfTrue="1">
      <formula>MOD(ROW(),2)=1</formula>
    </cfRule>
    <cfRule type="expression" priority="16" stopIfTrue="1">
      <formula>MOD(ROW(),2)=1</formula>
    </cfRule>
  </conditionalFormatting>
  <conditionalFormatting sqref="A64:A65">
    <cfRule type="expression" priority="14" stopIfTrue="1">
      <formula>MOD(row,0)=0</formula>
    </cfRule>
  </conditionalFormatting>
  <conditionalFormatting sqref="A64:A65">
    <cfRule type="expression" priority="13" stopIfTrue="1">
      <formula>MOD((((#REF!))),0)=0</formula>
    </cfRule>
  </conditionalFormatting>
  <conditionalFormatting sqref="A64:A65">
    <cfRule type="expression" dxfId="13" priority="11" stopIfTrue="1">
      <formula>MOD(ROW(),2)=1</formula>
    </cfRule>
    <cfRule type="expression" priority="12" stopIfTrue="1">
      <formula>MOD(ROW(),2)=1</formula>
    </cfRule>
  </conditionalFormatting>
  <conditionalFormatting sqref="A64:A65">
    <cfRule type="expression" priority="10" stopIfTrue="1">
      <formula>MOD(row,0)=0</formula>
    </cfRule>
  </conditionalFormatting>
  <conditionalFormatting sqref="A64:A65">
    <cfRule type="expression" priority="9" stopIfTrue="1">
      <formula>MOD((((#REF!))),0)=0</formula>
    </cfRule>
  </conditionalFormatting>
  <conditionalFormatting sqref="A64:A65">
    <cfRule type="expression" dxfId="12" priority="7" stopIfTrue="1">
      <formula>MOD(ROW(),2)=1</formula>
    </cfRule>
    <cfRule type="expression" priority="8" stopIfTrue="1">
      <formula>MOD(ROW(),2)=1</formula>
    </cfRule>
  </conditionalFormatting>
  <conditionalFormatting sqref="A64:A65">
    <cfRule type="expression" priority="6" stopIfTrue="1">
      <formula>MOD(row,0)=0</formula>
    </cfRule>
  </conditionalFormatting>
  <conditionalFormatting sqref="A64:A65">
    <cfRule type="expression" priority="5" stopIfTrue="1">
      <formula>MOD((((#REF!))),0)=0</formula>
    </cfRule>
  </conditionalFormatting>
  <conditionalFormatting sqref="A64:A65">
    <cfRule type="expression" dxfId="11" priority="3" stopIfTrue="1">
      <formula>MOD(ROW(),2)=1</formula>
    </cfRule>
    <cfRule type="expression" priority="4" stopIfTrue="1">
      <formula>MOD(ROW(),2)=1</formula>
    </cfRule>
  </conditionalFormatting>
  <conditionalFormatting sqref="A64:A65">
    <cfRule type="expression" priority="2" stopIfTrue="1">
      <formula>MOD(row,0)=0</formula>
    </cfRule>
  </conditionalFormatting>
  <conditionalFormatting sqref="A64:A65">
    <cfRule type="expression" priority="1" stopIfTrue="1">
      <formula>MOD((((#REF!))),0)=0</formula>
    </cfRule>
  </conditionalFormatting>
  <pageMargins left="0.59055118110236204" right="0.511811023622047" top="0.511811023622047" bottom="0.511811023622047" header="0" footer="0.35433070866141703"/>
  <pageSetup paperSize="512" firstPageNumber="17" orientation="portrait" useFirstPageNumber="1" r:id="rId1"/>
  <headerFooter>
    <oddFooter>&amp;C&amp;"Times New Roman,Regular"&amp;8&amp;P</oddFooter>
  </headerFooter>
  <ignoredErrors>
    <ignoredError sqref="J26:K26 H26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>
  <dimension ref="A1:Y77"/>
  <sheetViews>
    <sheetView zoomScale="110" zoomScaleNormal="110" workbookViewId="0">
      <pane xSplit="2" ySplit="7" topLeftCell="J50" activePane="bottomRight" state="frozen"/>
      <selection pane="topRight" activeCell="C1" sqref="C1"/>
      <selection pane="bottomLeft" activeCell="A8" sqref="A8"/>
      <selection pane="bottomRight" activeCell="A9" sqref="A9:XFD9"/>
    </sheetView>
  </sheetViews>
  <sheetFormatPr defaultColWidth="9.140625" defaultRowHeight="11.25"/>
  <cols>
    <col min="1" max="1" width="7.5703125" style="984" customWidth="1"/>
    <col min="2" max="2" width="1" style="984" customWidth="1"/>
    <col min="3" max="3" width="6.7109375" style="317" customWidth="1"/>
    <col min="4" max="4" width="5.85546875" style="317" customWidth="1"/>
    <col min="5" max="5" width="6.85546875" style="317" customWidth="1"/>
    <col min="6" max="6" width="6.42578125" style="317" customWidth="1"/>
    <col min="7" max="7" width="6.85546875" style="317" customWidth="1"/>
    <col min="8" max="8" width="5.7109375" style="317" customWidth="1"/>
    <col min="9" max="9" width="6.42578125" style="317" customWidth="1"/>
    <col min="10" max="10" width="7.42578125" style="327" customWidth="1"/>
    <col min="11" max="11" width="6.5703125" style="317" customWidth="1"/>
    <col min="12" max="12" width="5.42578125" style="317" customWidth="1"/>
    <col min="13" max="13" width="6.28515625" style="317" customWidth="1"/>
    <col min="14" max="14" width="9.28515625" style="317" customWidth="1"/>
    <col min="15" max="15" width="9.140625" style="317"/>
    <col min="16" max="16" width="9.5703125" style="317" customWidth="1"/>
    <col min="17" max="17" width="10.140625" style="317" customWidth="1"/>
    <col min="18" max="18" width="9.85546875" style="317" customWidth="1"/>
    <col min="19" max="19" width="10.28515625" style="317" customWidth="1"/>
    <col min="20" max="20" width="9.85546875" style="317" customWidth="1"/>
    <col min="21" max="21" width="9.140625" style="984" customWidth="1"/>
    <col min="22" max="16384" width="9.140625" style="317"/>
  </cols>
  <sheetData>
    <row r="1" spans="1:25" s="980" customFormat="1" ht="16.5" customHeight="1">
      <c r="C1" s="981"/>
      <c r="D1" s="981"/>
      <c r="E1" s="981"/>
      <c r="F1" s="981"/>
      <c r="G1" s="981"/>
      <c r="H1" s="981"/>
      <c r="I1" s="981"/>
      <c r="J1" s="982"/>
      <c r="K1" s="1846" t="s">
        <v>1060</v>
      </c>
      <c r="L1" s="1846"/>
      <c r="M1" s="1846"/>
      <c r="N1" s="1847" t="s">
        <v>2098</v>
      </c>
      <c r="O1" s="1847"/>
      <c r="P1" s="983"/>
      <c r="Q1" s="983"/>
      <c r="R1" s="983"/>
      <c r="S1" s="983"/>
      <c r="T1" s="1844" t="s">
        <v>405</v>
      </c>
      <c r="U1" s="1844"/>
    </row>
    <row r="2" spans="1:25" ht="12" customHeight="1">
      <c r="C2" s="985"/>
      <c r="D2" s="985"/>
      <c r="E2" s="985"/>
      <c r="F2" s="985"/>
      <c r="G2" s="985"/>
      <c r="H2" s="985"/>
      <c r="M2" s="985"/>
      <c r="N2" s="985"/>
      <c r="O2" s="986"/>
      <c r="P2" s="985"/>
      <c r="Q2" s="985"/>
      <c r="R2" s="985"/>
      <c r="S2" s="985"/>
      <c r="T2" s="1849" t="s">
        <v>42</v>
      </c>
      <c r="U2" s="1849"/>
    </row>
    <row r="3" spans="1:25" s="989" customFormat="1" ht="12.75" customHeight="1">
      <c r="A3" s="1859" t="s">
        <v>1985</v>
      </c>
      <c r="B3" s="1860"/>
      <c r="C3" s="1845" t="s">
        <v>1133</v>
      </c>
      <c r="D3" s="1845"/>
      <c r="E3" s="1845"/>
      <c r="F3" s="1845"/>
      <c r="G3" s="1868" t="s">
        <v>1222</v>
      </c>
      <c r="H3" s="1851"/>
      <c r="I3" s="1851"/>
      <c r="J3" s="1851"/>
      <c r="K3" s="1851"/>
      <c r="L3" s="1851"/>
      <c r="M3" s="1851"/>
      <c r="N3" s="1851" t="s">
        <v>1221</v>
      </c>
      <c r="O3" s="1851"/>
      <c r="P3" s="1851"/>
      <c r="Q3" s="987"/>
      <c r="R3" s="1850" t="s">
        <v>1987</v>
      </c>
      <c r="S3" s="1850" t="s">
        <v>1988</v>
      </c>
      <c r="T3" s="1848" t="s">
        <v>2099</v>
      </c>
      <c r="U3" s="1853" t="s">
        <v>1126</v>
      </c>
    </row>
    <row r="4" spans="1:25" s="990" customFormat="1" ht="15" customHeight="1">
      <c r="A4" s="1861"/>
      <c r="B4" s="1862"/>
      <c r="C4" s="1850" t="s">
        <v>1675</v>
      </c>
      <c r="D4" s="1857" t="s">
        <v>424</v>
      </c>
      <c r="E4" s="1853" t="s">
        <v>963</v>
      </c>
      <c r="F4" s="1850" t="s">
        <v>1676</v>
      </c>
      <c r="G4" s="1865" t="s">
        <v>1026</v>
      </c>
      <c r="H4" s="1866"/>
      <c r="I4" s="1866"/>
      <c r="J4" s="1866"/>
      <c r="K4" s="1866"/>
      <c r="L4" s="1866"/>
      <c r="M4" s="1867"/>
      <c r="N4" s="1845" t="s">
        <v>1251</v>
      </c>
      <c r="O4" s="1845"/>
      <c r="P4" s="1845"/>
      <c r="Q4" s="1850" t="s">
        <v>1986</v>
      </c>
      <c r="R4" s="1850"/>
      <c r="S4" s="1850"/>
      <c r="T4" s="1848"/>
      <c r="U4" s="1856"/>
    </row>
    <row r="5" spans="1:25" s="990" customFormat="1" ht="15" customHeight="1">
      <c r="A5" s="1861"/>
      <c r="B5" s="1862"/>
      <c r="C5" s="1850"/>
      <c r="D5" s="1857"/>
      <c r="E5" s="1856"/>
      <c r="F5" s="1850"/>
      <c r="G5" s="1845" t="s">
        <v>1387</v>
      </c>
      <c r="H5" s="1845"/>
      <c r="I5" s="1845"/>
      <c r="J5" s="1845"/>
      <c r="K5" s="1845" t="s">
        <v>1136</v>
      </c>
      <c r="L5" s="1845"/>
      <c r="M5" s="1845"/>
      <c r="N5" s="1853" t="s">
        <v>1679</v>
      </c>
      <c r="O5" s="1853" t="s">
        <v>424</v>
      </c>
      <c r="P5" s="1853" t="s">
        <v>1680</v>
      </c>
      <c r="Q5" s="1850"/>
      <c r="R5" s="1850"/>
      <c r="S5" s="1850"/>
      <c r="T5" s="1848"/>
      <c r="U5" s="1856"/>
    </row>
    <row r="6" spans="1:25" s="990" customFormat="1" ht="34.5" customHeight="1">
      <c r="A6" s="1861"/>
      <c r="B6" s="1862"/>
      <c r="C6" s="1850"/>
      <c r="D6" s="1857"/>
      <c r="E6" s="1854"/>
      <c r="F6" s="1850"/>
      <c r="G6" s="988" t="s">
        <v>313</v>
      </c>
      <c r="H6" s="991" t="s">
        <v>424</v>
      </c>
      <c r="I6" s="988" t="s">
        <v>1388</v>
      </c>
      <c r="J6" s="988" t="s">
        <v>1677</v>
      </c>
      <c r="K6" s="988" t="s">
        <v>313</v>
      </c>
      <c r="L6" s="992" t="s">
        <v>424</v>
      </c>
      <c r="M6" s="988" t="s">
        <v>1678</v>
      </c>
      <c r="N6" s="1854"/>
      <c r="O6" s="1854"/>
      <c r="P6" s="1854"/>
      <c r="Q6" s="1850"/>
      <c r="R6" s="1850"/>
      <c r="S6" s="1850"/>
      <c r="T6" s="1848"/>
      <c r="U6" s="1856"/>
    </row>
    <row r="7" spans="1:25" s="994" customFormat="1" ht="10.5">
      <c r="A7" s="1863"/>
      <c r="B7" s="1864"/>
      <c r="C7" s="475">
        <v>1</v>
      </c>
      <c r="D7" s="475">
        <v>2</v>
      </c>
      <c r="E7" s="475">
        <v>3</v>
      </c>
      <c r="F7" s="475">
        <v>4</v>
      </c>
      <c r="G7" s="475">
        <v>5</v>
      </c>
      <c r="H7" s="475">
        <v>6</v>
      </c>
      <c r="I7" s="475">
        <v>7</v>
      </c>
      <c r="J7" s="475">
        <v>8</v>
      </c>
      <c r="K7" s="475">
        <v>9</v>
      </c>
      <c r="L7" s="475">
        <v>10</v>
      </c>
      <c r="M7" s="475">
        <v>11</v>
      </c>
      <c r="N7" s="475">
        <v>12</v>
      </c>
      <c r="O7" s="475">
        <v>13</v>
      </c>
      <c r="P7" s="475">
        <v>14</v>
      </c>
      <c r="Q7" s="475">
        <v>15</v>
      </c>
      <c r="R7" s="475">
        <v>16</v>
      </c>
      <c r="S7" s="475">
        <v>17</v>
      </c>
      <c r="T7" s="993">
        <v>18</v>
      </c>
      <c r="U7" s="1854"/>
    </row>
    <row r="8" spans="1:25" ht="10.35" hidden="1" customHeight="1">
      <c r="A8" s="449" t="s">
        <v>1200</v>
      </c>
      <c r="B8" s="449"/>
      <c r="C8" s="760">
        <v>8268.7999999999993</v>
      </c>
      <c r="D8" s="760">
        <v>-269</v>
      </c>
      <c r="E8" s="760">
        <v>-807.7</v>
      </c>
      <c r="F8" s="760">
        <f t="shared" ref="F8:F14" si="0">C8+D8+E8</f>
        <v>7192.0999999999995</v>
      </c>
      <c r="G8" s="760">
        <v>14563.8</v>
      </c>
      <c r="H8" s="760">
        <v>0.8</v>
      </c>
      <c r="I8" s="760">
        <v>16889</v>
      </c>
      <c r="J8" s="760">
        <f t="shared" ref="J8:J20" si="1">G8+H8+I8</f>
        <v>31453.599999999999</v>
      </c>
      <c r="K8" s="760">
        <v>6504</v>
      </c>
      <c r="L8" s="760">
        <v>0.2</v>
      </c>
      <c r="M8" s="760">
        <f t="shared" ref="M8:M20" si="2">K8+L8</f>
        <v>6504.2</v>
      </c>
      <c r="N8" s="760">
        <v>54945.599999999999</v>
      </c>
      <c r="O8" s="760">
        <v>2158</v>
      </c>
      <c r="P8" s="760">
        <f t="shared" ref="P8:P13" si="3">N8+O8</f>
        <v>57103.6</v>
      </c>
      <c r="Q8" s="760">
        <f t="shared" ref="Q8:Q20" si="4">J8+M8+P8</f>
        <v>95061.4</v>
      </c>
      <c r="R8" s="760">
        <v>-11047.1</v>
      </c>
      <c r="S8" s="760">
        <f t="shared" ref="S8:S20" si="5">Q8+R8</f>
        <v>84014.299999999988</v>
      </c>
      <c r="T8" s="760">
        <f t="shared" ref="T8:T20" si="6">F8+S8</f>
        <v>91206.399999999994</v>
      </c>
      <c r="U8" s="451" t="s">
        <v>1200</v>
      </c>
    </row>
    <row r="9" spans="1:25" ht="10.35" hidden="1" customHeight="1">
      <c r="A9" s="449" t="s">
        <v>1201</v>
      </c>
      <c r="B9" s="449"/>
      <c r="C9" s="760">
        <v>7153.7</v>
      </c>
      <c r="D9" s="760">
        <v>-263.7</v>
      </c>
      <c r="E9" s="760">
        <v>-850.9</v>
      </c>
      <c r="F9" s="760">
        <f t="shared" si="0"/>
        <v>6039.1</v>
      </c>
      <c r="G9" s="760">
        <v>17438.5</v>
      </c>
      <c r="H9" s="760">
        <v>0.8</v>
      </c>
      <c r="I9" s="760">
        <v>21126.3</v>
      </c>
      <c r="J9" s="760">
        <f t="shared" si="1"/>
        <v>38565.599999999999</v>
      </c>
      <c r="K9" s="760">
        <v>7676.7</v>
      </c>
      <c r="L9" s="760">
        <v>0.2</v>
      </c>
      <c r="M9" s="760">
        <f t="shared" si="2"/>
        <v>7676.9</v>
      </c>
      <c r="N9" s="760">
        <v>63881.9</v>
      </c>
      <c r="O9" s="760">
        <v>2487.1999999999998</v>
      </c>
      <c r="P9" s="760">
        <f t="shared" si="3"/>
        <v>66369.100000000006</v>
      </c>
      <c r="Q9" s="760">
        <f t="shared" si="4"/>
        <v>112611.6</v>
      </c>
      <c r="R9" s="760">
        <v>-10842.1</v>
      </c>
      <c r="S9" s="760">
        <f t="shared" si="5"/>
        <v>101769.5</v>
      </c>
      <c r="T9" s="760">
        <f t="shared" si="6"/>
        <v>107808.6</v>
      </c>
      <c r="U9" s="451" t="s">
        <v>1201</v>
      </c>
    </row>
    <row r="10" spans="1:25" ht="10.35" customHeight="1">
      <c r="A10" s="449" t="s">
        <v>1202</v>
      </c>
      <c r="B10" s="449"/>
      <c r="C10" s="760">
        <v>9233.9</v>
      </c>
      <c r="D10" s="760">
        <v>-244.9</v>
      </c>
      <c r="E10" s="760">
        <v>-987.6</v>
      </c>
      <c r="F10" s="760">
        <f t="shared" si="0"/>
        <v>8001.4</v>
      </c>
      <c r="G10" s="760">
        <v>19977</v>
      </c>
      <c r="H10" s="760">
        <v>0.7</v>
      </c>
      <c r="I10" s="760">
        <v>25793</v>
      </c>
      <c r="J10" s="760">
        <f t="shared" si="1"/>
        <v>45770.7</v>
      </c>
      <c r="K10" s="760">
        <v>7540.3</v>
      </c>
      <c r="L10" s="760">
        <v>3</v>
      </c>
      <c r="M10" s="760">
        <f t="shared" si="2"/>
        <v>7543.3</v>
      </c>
      <c r="N10" s="760">
        <v>73038.399999999994</v>
      </c>
      <c r="O10" s="760">
        <v>2911.3</v>
      </c>
      <c r="P10" s="760">
        <f t="shared" si="3"/>
        <v>75949.7</v>
      </c>
      <c r="Q10" s="760">
        <f t="shared" si="4"/>
        <v>129263.7</v>
      </c>
      <c r="R10" s="760">
        <v>-13126.6</v>
      </c>
      <c r="S10" s="760">
        <f t="shared" si="5"/>
        <v>116137.09999999999</v>
      </c>
      <c r="T10" s="760">
        <f t="shared" si="6"/>
        <v>124138.49999999999</v>
      </c>
      <c r="U10" s="451" t="s">
        <v>1202</v>
      </c>
    </row>
    <row r="11" spans="1:25" ht="10.35" customHeight="1">
      <c r="A11" s="449" t="s">
        <v>1203</v>
      </c>
      <c r="B11" s="449"/>
      <c r="C11" s="760">
        <v>13714.9</v>
      </c>
      <c r="D11" s="760">
        <v>-270.2</v>
      </c>
      <c r="E11" s="760">
        <v>-1435.1</v>
      </c>
      <c r="F11" s="760">
        <f t="shared" si="0"/>
        <v>12009.599999999999</v>
      </c>
      <c r="G11" s="760">
        <v>18958.7</v>
      </c>
      <c r="H11" s="760">
        <v>0</v>
      </c>
      <c r="I11" s="760">
        <v>30096</v>
      </c>
      <c r="J11" s="760">
        <v>49054.7</v>
      </c>
      <c r="K11" s="760">
        <v>7521.5</v>
      </c>
      <c r="L11" s="760">
        <v>1</v>
      </c>
      <c r="M11" s="760">
        <f t="shared" si="2"/>
        <v>7522.5</v>
      </c>
      <c r="N11" s="760">
        <v>82404.100000000006</v>
      </c>
      <c r="O11" s="760">
        <v>3705.9</v>
      </c>
      <c r="P11" s="760">
        <f t="shared" si="3"/>
        <v>86110</v>
      </c>
      <c r="Q11" s="760">
        <f t="shared" si="4"/>
        <v>142687.20000000001</v>
      </c>
      <c r="R11" s="760">
        <v>-11149.3</v>
      </c>
      <c r="S11" s="760">
        <f t="shared" si="5"/>
        <v>131537.90000000002</v>
      </c>
      <c r="T11" s="760">
        <f t="shared" si="6"/>
        <v>143547.50000000003</v>
      </c>
      <c r="U11" s="451" t="s">
        <v>1203</v>
      </c>
    </row>
    <row r="12" spans="1:25" ht="10.35" customHeight="1">
      <c r="A12" s="449" t="s">
        <v>1204</v>
      </c>
      <c r="B12" s="449"/>
      <c r="C12" s="760">
        <v>15913.1</v>
      </c>
      <c r="D12" s="760">
        <v>-246.9</v>
      </c>
      <c r="E12" s="760">
        <v>-1888.8</v>
      </c>
      <c r="F12" s="760">
        <f t="shared" si="0"/>
        <v>13777.400000000001</v>
      </c>
      <c r="G12" s="760">
        <v>21851.3</v>
      </c>
      <c r="H12" s="760">
        <v>16</v>
      </c>
      <c r="I12" s="760">
        <v>34001.599999999999</v>
      </c>
      <c r="J12" s="760">
        <f t="shared" si="1"/>
        <v>55868.899999999994</v>
      </c>
      <c r="K12" s="760">
        <v>8956.7000000000007</v>
      </c>
      <c r="L12" s="760">
        <v>0</v>
      </c>
      <c r="M12" s="760">
        <f t="shared" si="2"/>
        <v>8956.7000000000007</v>
      </c>
      <c r="N12" s="760">
        <v>93693.8</v>
      </c>
      <c r="O12" s="760">
        <v>5400</v>
      </c>
      <c r="P12" s="760">
        <f t="shared" si="3"/>
        <v>99093.8</v>
      </c>
      <c r="Q12" s="760">
        <f t="shared" si="4"/>
        <v>163919.4</v>
      </c>
      <c r="R12" s="760">
        <v>-14539.4</v>
      </c>
      <c r="S12" s="760">
        <f t="shared" si="5"/>
        <v>149380</v>
      </c>
      <c r="T12" s="760">
        <f t="shared" si="6"/>
        <v>163157.4</v>
      </c>
      <c r="U12" s="451" t="s">
        <v>1204</v>
      </c>
    </row>
    <row r="13" spans="1:25" ht="10.35" customHeight="1">
      <c r="A13" s="449" t="s">
        <v>1205</v>
      </c>
      <c r="B13" s="449"/>
      <c r="C13" s="760">
        <v>18218.3</v>
      </c>
      <c r="D13" s="760">
        <v>-232.8</v>
      </c>
      <c r="E13" s="760">
        <v>-2424.6999999999998</v>
      </c>
      <c r="F13" s="760">
        <f t="shared" si="0"/>
        <v>15560.8</v>
      </c>
      <c r="G13" s="760">
        <v>25552.799999999999</v>
      </c>
      <c r="H13" s="760">
        <v>35.700000000000003</v>
      </c>
      <c r="I13" s="760">
        <v>36497.699999999997</v>
      </c>
      <c r="J13" s="760">
        <f t="shared" si="1"/>
        <v>62086.2</v>
      </c>
      <c r="K13" s="760">
        <v>11174.9</v>
      </c>
      <c r="L13" s="760">
        <v>6.1</v>
      </c>
      <c r="M13" s="760">
        <f t="shared" si="2"/>
        <v>11181</v>
      </c>
      <c r="N13" s="760">
        <v>109512</v>
      </c>
      <c r="O13" s="760">
        <v>7430.1</v>
      </c>
      <c r="P13" s="760">
        <f t="shared" si="3"/>
        <v>116942.1</v>
      </c>
      <c r="Q13" s="760">
        <f t="shared" si="4"/>
        <v>190209.3</v>
      </c>
      <c r="R13" s="760">
        <v>-17848.8</v>
      </c>
      <c r="S13" s="760">
        <f t="shared" si="5"/>
        <v>172360.5</v>
      </c>
      <c r="T13" s="760">
        <f t="shared" si="6"/>
        <v>187921.3</v>
      </c>
      <c r="U13" s="451" t="s">
        <v>1205</v>
      </c>
    </row>
    <row r="14" spans="1:25" ht="10.35" customHeight="1">
      <c r="A14" s="449" t="s">
        <v>1210</v>
      </c>
      <c r="B14" s="449"/>
      <c r="C14" s="760">
        <v>21511</v>
      </c>
      <c r="D14" s="760">
        <v>-222</v>
      </c>
      <c r="E14" s="760">
        <v>-2913.4</v>
      </c>
      <c r="F14" s="760">
        <f t="shared" si="0"/>
        <v>18375.599999999999</v>
      </c>
      <c r="G14" s="995">
        <v>31506</v>
      </c>
      <c r="H14" s="760">
        <v>35.9</v>
      </c>
      <c r="I14" s="760">
        <v>39464.300000000003</v>
      </c>
      <c r="J14" s="760">
        <f t="shared" si="1"/>
        <v>71006.200000000012</v>
      </c>
      <c r="K14" s="995">
        <v>14496.2</v>
      </c>
      <c r="L14" s="760">
        <v>13.4</v>
      </c>
      <c r="M14" s="760">
        <f t="shared" si="2"/>
        <v>14509.6</v>
      </c>
      <c r="N14" s="760">
        <v>129118</v>
      </c>
      <c r="O14" s="760">
        <v>9626.5</v>
      </c>
      <c r="P14" s="760">
        <f>N14+O14</f>
        <v>138744.5</v>
      </c>
      <c r="Q14" s="760">
        <f t="shared" si="4"/>
        <v>224260.30000000002</v>
      </c>
      <c r="R14" s="760">
        <v>-21351.599999999999</v>
      </c>
      <c r="S14" s="760">
        <f t="shared" si="5"/>
        <v>202908.7</v>
      </c>
      <c r="T14" s="760">
        <f t="shared" si="6"/>
        <v>221284.30000000002</v>
      </c>
      <c r="U14" s="451" t="s">
        <v>1210</v>
      </c>
      <c r="V14" s="333"/>
    </row>
    <row r="15" spans="1:25" ht="10.35" customHeight="1">
      <c r="A15" s="449" t="s">
        <v>1219</v>
      </c>
      <c r="B15" s="449"/>
      <c r="C15" s="760">
        <v>32381.200000000001</v>
      </c>
      <c r="D15" s="760">
        <v>-306.5</v>
      </c>
      <c r="E15" s="760">
        <v>-3467.2</v>
      </c>
      <c r="F15" s="760">
        <v>28607.5</v>
      </c>
      <c r="G15" s="995">
        <v>35910.1</v>
      </c>
      <c r="H15" s="760">
        <v>29.2</v>
      </c>
      <c r="I15" s="760">
        <v>43639.199999999997</v>
      </c>
      <c r="J15" s="760">
        <f t="shared" si="1"/>
        <v>79578.5</v>
      </c>
      <c r="K15" s="995">
        <v>15759.5</v>
      </c>
      <c r="L15" s="760">
        <v>41.4</v>
      </c>
      <c r="M15" s="760">
        <f t="shared" si="2"/>
        <v>15800.9</v>
      </c>
      <c r="N15" s="760">
        <v>147755.1</v>
      </c>
      <c r="O15" s="760">
        <v>12529</v>
      </c>
      <c r="P15" s="760">
        <v>160284.1</v>
      </c>
      <c r="Q15" s="760">
        <f t="shared" si="4"/>
        <v>255663.5</v>
      </c>
      <c r="R15" s="969">
        <v>-28025</v>
      </c>
      <c r="S15" s="760">
        <f t="shared" si="5"/>
        <v>227638.5</v>
      </c>
      <c r="T15" s="760">
        <f t="shared" si="6"/>
        <v>256246</v>
      </c>
      <c r="U15" s="451" t="s">
        <v>1219</v>
      </c>
      <c r="V15" s="333"/>
      <c r="W15" s="333"/>
      <c r="X15" s="333"/>
      <c r="Y15" s="333"/>
    </row>
    <row r="16" spans="1:25" ht="10.35" customHeight="1">
      <c r="A16" s="449" t="s">
        <v>916</v>
      </c>
      <c r="B16" s="449"/>
      <c r="C16" s="760">
        <v>37295.9</v>
      </c>
      <c r="D16" s="760">
        <v>-268</v>
      </c>
      <c r="E16" s="760">
        <v>-4108</v>
      </c>
      <c r="F16" s="760">
        <v>32919.9</v>
      </c>
      <c r="G16" s="995">
        <v>46720.800000000003</v>
      </c>
      <c r="H16" s="760">
        <v>66</v>
      </c>
      <c r="I16" s="760">
        <v>46157.5</v>
      </c>
      <c r="J16" s="760">
        <f t="shared" si="1"/>
        <v>92944.3</v>
      </c>
      <c r="K16" s="995">
        <v>10113.5</v>
      </c>
      <c r="L16" s="760">
        <v>27.3</v>
      </c>
      <c r="M16" s="760">
        <f t="shared" si="2"/>
        <v>10140.799999999999</v>
      </c>
      <c r="N16" s="760">
        <v>184305.4</v>
      </c>
      <c r="O16" s="760">
        <v>14936.2</v>
      </c>
      <c r="P16" s="760">
        <v>199241.60000000001</v>
      </c>
      <c r="Q16" s="760">
        <f t="shared" si="4"/>
        <v>302326.7</v>
      </c>
      <c r="R16" s="969">
        <v>-38741.400000000023</v>
      </c>
      <c r="S16" s="760">
        <f t="shared" si="5"/>
        <v>263585.3</v>
      </c>
      <c r="T16" s="760">
        <f t="shared" si="6"/>
        <v>296505.2</v>
      </c>
      <c r="U16" s="451" t="s">
        <v>916</v>
      </c>
      <c r="V16" s="333"/>
      <c r="W16" s="333"/>
      <c r="X16" s="333"/>
      <c r="Y16" s="333"/>
    </row>
    <row r="17" spans="1:25" ht="10.35" customHeight="1">
      <c r="A17" s="449" t="s">
        <v>230</v>
      </c>
      <c r="B17" s="449"/>
      <c r="C17" s="760">
        <v>47442</v>
      </c>
      <c r="D17" s="760">
        <v>-242.5</v>
      </c>
      <c r="E17" s="760">
        <v>-4794.1000000000004</v>
      </c>
      <c r="F17" s="760">
        <v>42405.4</v>
      </c>
      <c r="G17" s="995">
        <v>57982.1</v>
      </c>
      <c r="H17" s="760">
        <v>56.3</v>
      </c>
      <c r="I17" s="760">
        <v>49790.8</v>
      </c>
      <c r="J17" s="760">
        <f t="shared" si="1"/>
        <v>107829.20000000001</v>
      </c>
      <c r="K17" s="995">
        <v>10883.7</v>
      </c>
      <c r="L17" s="760">
        <v>71.7</v>
      </c>
      <c r="M17" s="760">
        <f t="shared" si="2"/>
        <v>10955.400000000001</v>
      </c>
      <c r="N17" s="760">
        <v>210497.4</v>
      </c>
      <c r="O17" s="760">
        <v>18617.3</v>
      </c>
      <c r="P17" s="760">
        <v>229114.69999999998</v>
      </c>
      <c r="Q17" s="760">
        <f t="shared" si="4"/>
        <v>347899.3</v>
      </c>
      <c r="R17" s="969">
        <v>-41248.899999999958</v>
      </c>
      <c r="S17" s="760">
        <f t="shared" si="5"/>
        <v>306650.40000000002</v>
      </c>
      <c r="T17" s="760">
        <f t="shared" si="6"/>
        <v>349055.80000000005</v>
      </c>
      <c r="U17" s="451" t="s">
        <v>230</v>
      </c>
      <c r="V17" s="333"/>
      <c r="W17" s="333"/>
      <c r="X17" s="333"/>
      <c r="Y17" s="333"/>
    </row>
    <row r="18" spans="1:25" ht="10.35" customHeight="1">
      <c r="A18" s="449" t="s">
        <v>220</v>
      </c>
      <c r="B18" s="449"/>
      <c r="C18" s="760">
        <v>67049.8</v>
      </c>
      <c r="D18" s="760">
        <v>-221.7</v>
      </c>
      <c r="E18" s="760">
        <v>-5768.2</v>
      </c>
      <c r="F18" s="760">
        <v>61059.900000000009</v>
      </c>
      <c r="G18" s="995">
        <v>54225</v>
      </c>
      <c r="H18" s="760">
        <v>175.5</v>
      </c>
      <c r="I18" s="760">
        <v>61381.4</v>
      </c>
      <c r="J18" s="760">
        <f t="shared" si="1"/>
        <v>115781.9</v>
      </c>
      <c r="K18" s="995">
        <v>12762.9</v>
      </c>
      <c r="L18" s="760">
        <v>93.8</v>
      </c>
      <c r="M18" s="760">
        <f t="shared" si="2"/>
        <v>12856.699999999999</v>
      </c>
      <c r="N18" s="760">
        <v>261852</v>
      </c>
      <c r="O18" s="760">
        <v>23541.3</v>
      </c>
      <c r="P18" s="760">
        <v>285393.3</v>
      </c>
      <c r="Q18" s="760">
        <f t="shared" si="4"/>
        <v>414031.89999999997</v>
      </c>
      <c r="R18" s="969">
        <v>-45754.599999999977</v>
      </c>
      <c r="S18" s="760">
        <f t="shared" si="5"/>
        <v>368277.3</v>
      </c>
      <c r="T18" s="760">
        <f t="shared" si="6"/>
        <v>429337.2</v>
      </c>
      <c r="U18" s="451" t="s">
        <v>220</v>
      </c>
      <c r="V18" s="333"/>
      <c r="W18" s="333"/>
      <c r="X18" s="333"/>
      <c r="Y18" s="333"/>
    </row>
    <row r="19" spans="1:25" ht="10.35" customHeight="1">
      <c r="A19" s="449" t="s">
        <v>489</v>
      </c>
      <c r="B19" s="449"/>
      <c r="C19" s="760">
        <v>70573.399999999994</v>
      </c>
      <c r="D19" s="760">
        <v>-404.7</v>
      </c>
      <c r="E19" s="760">
        <v>-6049.4</v>
      </c>
      <c r="F19" s="760">
        <v>64119.299999999996</v>
      </c>
      <c r="G19" s="995">
        <v>73200.600000000006</v>
      </c>
      <c r="H19" s="760">
        <v>372.6</v>
      </c>
      <c r="I19" s="760">
        <v>63438.3</v>
      </c>
      <c r="J19" s="760">
        <f t="shared" si="1"/>
        <v>137011.5</v>
      </c>
      <c r="K19" s="995">
        <v>16901.400000000001</v>
      </c>
      <c r="L19" s="760">
        <v>108</v>
      </c>
      <c r="M19" s="760">
        <f t="shared" si="2"/>
        <v>17009.400000000001</v>
      </c>
      <c r="N19" s="760">
        <v>332161.3</v>
      </c>
      <c r="O19" s="760">
        <v>27348.5</v>
      </c>
      <c r="P19" s="760">
        <v>359509.8</v>
      </c>
      <c r="Q19" s="760">
        <f t="shared" si="4"/>
        <v>513530.69999999995</v>
      </c>
      <c r="R19" s="969">
        <v>-67193.599999999977</v>
      </c>
      <c r="S19" s="760">
        <f t="shared" si="5"/>
        <v>446337.1</v>
      </c>
      <c r="T19" s="760">
        <f t="shared" si="6"/>
        <v>510456.39999999997</v>
      </c>
      <c r="U19" s="451" t="s">
        <v>489</v>
      </c>
      <c r="V19" s="333"/>
      <c r="W19" s="333"/>
      <c r="X19" s="333"/>
      <c r="Y19" s="333"/>
    </row>
    <row r="20" spans="1:25" ht="10.35" customHeight="1">
      <c r="A20" s="449" t="s">
        <v>1580</v>
      </c>
      <c r="B20" s="449"/>
      <c r="C20" s="760">
        <v>78818.7</v>
      </c>
      <c r="D20" s="760">
        <v>-378.5</v>
      </c>
      <c r="E20" s="760">
        <v>-6273.8</v>
      </c>
      <c r="F20" s="760">
        <v>72166.399999999994</v>
      </c>
      <c r="G20" s="996">
        <v>91700.5</v>
      </c>
      <c r="H20" s="760">
        <v>261.89999999999998</v>
      </c>
      <c r="I20" s="760">
        <v>63861.3</v>
      </c>
      <c r="J20" s="760">
        <f t="shared" si="1"/>
        <v>155823.70000000001</v>
      </c>
      <c r="K20" s="996">
        <v>15284.1</v>
      </c>
      <c r="L20" s="760">
        <v>46</v>
      </c>
      <c r="M20" s="760">
        <f t="shared" si="2"/>
        <v>15330.1</v>
      </c>
      <c r="N20" s="760">
        <v>398311.5</v>
      </c>
      <c r="O20" s="760">
        <v>31174.9</v>
      </c>
      <c r="P20" s="760">
        <v>429486.4</v>
      </c>
      <c r="Q20" s="760">
        <f t="shared" si="4"/>
        <v>600640.20000000007</v>
      </c>
      <c r="R20" s="969">
        <v>-82966.200000000099</v>
      </c>
      <c r="S20" s="760">
        <f t="shared" si="5"/>
        <v>517674</v>
      </c>
      <c r="T20" s="760">
        <f t="shared" si="6"/>
        <v>589840.4</v>
      </c>
      <c r="U20" s="451" t="s">
        <v>1580</v>
      </c>
      <c r="V20" s="333"/>
      <c r="W20" s="333"/>
      <c r="X20" s="333"/>
      <c r="Y20" s="333"/>
    </row>
    <row r="21" spans="1:25" ht="10.35" customHeight="1">
      <c r="A21" s="449" t="s">
        <v>1809</v>
      </c>
      <c r="B21" s="449"/>
      <c r="C21" s="760">
        <v>113250.1</v>
      </c>
      <c r="D21" s="760">
        <v>-344.5</v>
      </c>
      <c r="E21" s="760">
        <v>-6493.8</v>
      </c>
      <c r="F21" s="760">
        <v>106411.8</v>
      </c>
      <c r="G21" s="996">
        <v>110094.5</v>
      </c>
      <c r="H21" s="760">
        <v>249.7</v>
      </c>
      <c r="I21" s="760">
        <v>64634.2</v>
      </c>
      <c r="J21" s="760">
        <v>174978.4</v>
      </c>
      <c r="K21" s="996">
        <v>9376.7999999999993</v>
      </c>
      <c r="L21" s="760">
        <v>43.7</v>
      </c>
      <c r="M21" s="760">
        <v>9420.5</v>
      </c>
      <c r="N21" s="760">
        <v>440915.1</v>
      </c>
      <c r="O21" s="760">
        <v>36526.800000000003</v>
      </c>
      <c r="P21" s="760">
        <v>477441.89999999997</v>
      </c>
      <c r="Q21" s="760">
        <v>661840.79999999993</v>
      </c>
      <c r="R21" s="969">
        <v>-88069.7</v>
      </c>
      <c r="S21" s="760">
        <v>573771.1</v>
      </c>
      <c r="T21" s="760">
        <v>680182.9</v>
      </c>
      <c r="U21" s="451" t="s">
        <v>1809</v>
      </c>
      <c r="V21" s="333"/>
      <c r="W21" s="333"/>
      <c r="X21" s="333"/>
      <c r="Y21" s="333"/>
    </row>
    <row r="22" spans="1:25" s="353" customFormat="1" ht="10.35" customHeight="1">
      <c r="A22" s="758" t="s">
        <v>2226</v>
      </c>
      <c r="B22" s="758"/>
      <c r="C22" s="855">
        <f>C34</f>
        <v>160056.6</v>
      </c>
      <c r="D22" s="855">
        <f t="shared" ref="D22:T22" si="7">D34</f>
        <v>-318.89999999999998</v>
      </c>
      <c r="E22" s="855">
        <f t="shared" si="7"/>
        <v>-6695</v>
      </c>
      <c r="F22" s="855">
        <f t="shared" si="7"/>
        <v>153042.70000000001</v>
      </c>
      <c r="G22" s="855">
        <f t="shared" si="7"/>
        <v>117498.3</v>
      </c>
      <c r="H22" s="855">
        <f t="shared" si="7"/>
        <v>266.89999999999998</v>
      </c>
      <c r="I22" s="855">
        <f t="shared" si="7"/>
        <v>76341.3</v>
      </c>
      <c r="J22" s="855">
        <f t="shared" si="7"/>
        <v>194106.5</v>
      </c>
      <c r="K22" s="855">
        <f t="shared" si="7"/>
        <v>12612.9</v>
      </c>
      <c r="L22" s="855">
        <f t="shared" si="7"/>
        <v>40.6</v>
      </c>
      <c r="M22" s="855">
        <f t="shared" si="7"/>
        <v>12653.5</v>
      </c>
      <c r="N22" s="855">
        <f t="shared" si="7"/>
        <v>493936.5</v>
      </c>
      <c r="O22" s="855">
        <f t="shared" si="7"/>
        <v>43834.8</v>
      </c>
      <c r="P22" s="855">
        <f t="shared" si="7"/>
        <v>537771.30000000005</v>
      </c>
      <c r="Q22" s="855">
        <f t="shared" si="7"/>
        <v>744531.3</v>
      </c>
      <c r="R22" s="1055">
        <f t="shared" si="7"/>
        <v>-105128.7</v>
      </c>
      <c r="S22" s="855">
        <f t="shared" si="7"/>
        <v>639402.60000000009</v>
      </c>
      <c r="T22" s="855">
        <f t="shared" si="7"/>
        <v>792445.3</v>
      </c>
      <c r="U22" s="761" t="s">
        <v>2226</v>
      </c>
    </row>
    <row r="23" spans="1:25" s="315" customFormat="1" ht="10.35" hidden="1" customHeight="1">
      <c r="A23" s="759" t="s">
        <v>1211</v>
      </c>
      <c r="B23" s="759"/>
      <c r="C23" s="824">
        <v>116609.4</v>
      </c>
      <c r="D23" s="825">
        <v>-346.7</v>
      </c>
      <c r="E23" s="824">
        <v>-6444.4</v>
      </c>
      <c r="F23" s="903">
        <f t="shared" ref="F23:F47" si="8">C23+D23+E23</f>
        <v>109818.3</v>
      </c>
      <c r="G23" s="995">
        <v>114693.2</v>
      </c>
      <c r="H23" s="700">
        <v>249.7</v>
      </c>
      <c r="I23" s="852">
        <v>65259</v>
      </c>
      <c r="J23" s="433">
        <f t="shared" ref="J23:J47" si="9">G23+H23+I23</f>
        <v>180201.9</v>
      </c>
      <c r="K23" s="995">
        <v>10301.5</v>
      </c>
      <c r="L23" s="857">
        <f>9.4+20.1</f>
        <v>29.5</v>
      </c>
      <c r="M23" s="433">
        <f t="shared" ref="M23:M47" si="10">K23+L23</f>
        <v>10331</v>
      </c>
      <c r="N23" s="700">
        <v>445157.1</v>
      </c>
      <c r="O23" s="700">
        <v>36954.300000000003</v>
      </c>
      <c r="P23" s="433">
        <f t="shared" ref="P23:P31" si="11">N23+O23</f>
        <v>482111.39999999997</v>
      </c>
      <c r="Q23" s="433">
        <f t="shared" ref="Q23:Q31" si="12">J23+M23+P23</f>
        <v>672644.29999999993</v>
      </c>
      <c r="R23" s="433">
        <v>-92313.600000000006</v>
      </c>
      <c r="S23" s="433">
        <f t="shared" ref="S23:S29" si="13">Q23+R23</f>
        <v>580330.69999999995</v>
      </c>
      <c r="T23" s="433">
        <f t="shared" ref="T23:T29" si="14">F23+S23</f>
        <v>690149</v>
      </c>
      <c r="U23" s="809" t="s">
        <v>1211</v>
      </c>
      <c r="V23" s="393"/>
    </row>
    <row r="24" spans="1:25" s="315" customFormat="1" ht="10.35" hidden="1" customHeight="1">
      <c r="A24" s="759" t="s">
        <v>1212</v>
      </c>
      <c r="B24" s="759"/>
      <c r="C24" s="824">
        <v>119431.6</v>
      </c>
      <c r="D24" s="824">
        <v>-348.9</v>
      </c>
      <c r="E24" s="824">
        <v>-6531</v>
      </c>
      <c r="F24" s="903">
        <f t="shared" si="8"/>
        <v>112551.70000000001</v>
      </c>
      <c r="G24" s="995">
        <v>110266.8</v>
      </c>
      <c r="H24" s="852">
        <v>249.8</v>
      </c>
      <c r="I24" s="882">
        <v>65950.8</v>
      </c>
      <c r="J24" s="433">
        <f t="shared" si="9"/>
        <v>176467.40000000002</v>
      </c>
      <c r="K24" s="995">
        <v>10209.200000000001</v>
      </c>
      <c r="L24" s="852">
        <v>38.6</v>
      </c>
      <c r="M24" s="433">
        <f t="shared" si="10"/>
        <v>10247.800000000001</v>
      </c>
      <c r="N24" s="852">
        <v>448771.3</v>
      </c>
      <c r="O24" s="852">
        <v>37493.4</v>
      </c>
      <c r="P24" s="433">
        <f t="shared" si="11"/>
        <v>486264.7</v>
      </c>
      <c r="Q24" s="433">
        <f t="shared" si="12"/>
        <v>672979.9</v>
      </c>
      <c r="R24" s="433">
        <v>-87646.7</v>
      </c>
      <c r="S24" s="433">
        <f t="shared" si="13"/>
        <v>585333.20000000007</v>
      </c>
      <c r="T24" s="433">
        <f t="shared" si="14"/>
        <v>697884.90000000014</v>
      </c>
      <c r="U24" s="809" t="s">
        <v>1212</v>
      </c>
      <c r="V24" s="393"/>
    </row>
    <row r="25" spans="1:25" s="315" customFormat="1" ht="10.35" hidden="1" customHeight="1">
      <c r="A25" s="759" t="s">
        <v>1206</v>
      </c>
      <c r="B25" s="759"/>
      <c r="C25" s="824">
        <v>122140.8</v>
      </c>
      <c r="D25" s="824">
        <v>-185</v>
      </c>
      <c r="E25" s="824">
        <v>-6549.9</v>
      </c>
      <c r="F25" s="903">
        <f t="shared" si="8"/>
        <v>115405.90000000001</v>
      </c>
      <c r="G25" s="995">
        <v>109894.5</v>
      </c>
      <c r="H25" s="852">
        <v>249.7</v>
      </c>
      <c r="I25" s="852">
        <v>66731.5</v>
      </c>
      <c r="J25" s="433">
        <f t="shared" si="9"/>
        <v>176875.7</v>
      </c>
      <c r="K25" s="995">
        <v>10474.1</v>
      </c>
      <c r="L25" s="852">
        <v>38.5</v>
      </c>
      <c r="M25" s="433">
        <f t="shared" si="10"/>
        <v>10512.6</v>
      </c>
      <c r="N25" s="852">
        <v>453865.3</v>
      </c>
      <c r="O25" s="852">
        <v>38141.5</v>
      </c>
      <c r="P25" s="433">
        <f t="shared" si="11"/>
        <v>492006.8</v>
      </c>
      <c r="Q25" s="433">
        <f>J25+M25+P25</f>
        <v>679395.1</v>
      </c>
      <c r="R25" s="433">
        <v>-89389.5</v>
      </c>
      <c r="S25" s="433">
        <f t="shared" si="13"/>
        <v>590005.6</v>
      </c>
      <c r="T25" s="433">
        <f t="shared" si="14"/>
        <v>705411.5</v>
      </c>
      <c r="U25" s="809" t="s">
        <v>1206</v>
      </c>
      <c r="V25" s="393"/>
      <c r="W25" s="393"/>
    </row>
    <row r="26" spans="1:25" s="315" customFormat="1" ht="10.35" hidden="1" customHeight="1">
      <c r="A26" s="759" t="s">
        <v>1213</v>
      </c>
      <c r="B26" s="759"/>
      <c r="C26" s="824">
        <v>127559</v>
      </c>
      <c r="D26" s="824">
        <v>-185.3</v>
      </c>
      <c r="E26" s="824">
        <v>-6573.1</v>
      </c>
      <c r="F26" s="903">
        <f t="shared" si="8"/>
        <v>120800.59999999999</v>
      </c>
      <c r="G26" s="995">
        <v>114551.9</v>
      </c>
      <c r="H26" s="852">
        <v>249.6</v>
      </c>
      <c r="I26" s="852">
        <v>67333</v>
      </c>
      <c r="J26" s="433">
        <f t="shared" si="9"/>
        <v>182134.5</v>
      </c>
      <c r="K26" s="995">
        <v>10785.7</v>
      </c>
      <c r="L26" s="852">
        <v>38.6</v>
      </c>
      <c r="M26" s="433">
        <f t="shared" si="10"/>
        <v>10824.300000000001</v>
      </c>
      <c r="N26" s="852">
        <v>456079.6</v>
      </c>
      <c r="O26" s="852">
        <v>38936.9</v>
      </c>
      <c r="P26" s="433">
        <f t="shared" si="11"/>
        <v>495016.5</v>
      </c>
      <c r="Q26" s="433">
        <f t="shared" si="12"/>
        <v>687975.3</v>
      </c>
      <c r="R26" s="433">
        <v>-89063.5</v>
      </c>
      <c r="S26" s="433">
        <f t="shared" si="13"/>
        <v>598911.80000000005</v>
      </c>
      <c r="T26" s="433">
        <f t="shared" si="14"/>
        <v>719712.4</v>
      </c>
      <c r="U26" s="809" t="s">
        <v>1213</v>
      </c>
    </row>
    <row r="27" spans="1:25" s="315" customFormat="1" ht="10.35" hidden="1" customHeight="1">
      <c r="A27" s="759" t="s">
        <v>1214</v>
      </c>
      <c r="B27" s="759"/>
      <c r="C27" s="824">
        <v>130589.2</v>
      </c>
      <c r="D27" s="824">
        <v>-185.7</v>
      </c>
      <c r="E27" s="824">
        <v>-6569</v>
      </c>
      <c r="F27" s="903">
        <f t="shared" si="8"/>
        <v>123834.5</v>
      </c>
      <c r="G27" s="996">
        <v>113901.8</v>
      </c>
      <c r="H27" s="852">
        <v>249.4</v>
      </c>
      <c r="I27" s="852">
        <v>68003.5</v>
      </c>
      <c r="J27" s="433">
        <f t="shared" si="9"/>
        <v>182154.7</v>
      </c>
      <c r="K27" s="996">
        <v>11055.9</v>
      </c>
      <c r="L27" s="852">
        <v>38.799999999999997</v>
      </c>
      <c r="M27" s="433">
        <f t="shared" si="10"/>
        <v>11094.699999999999</v>
      </c>
      <c r="N27" s="852">
        <v>458829</v>
      </c>
      <c r="O27" s="852">
        <v>39469.4</v>
      </c>
      <c r="P27" s="433">
        <f t="shared" si="11"/>
        <v>498298.4</v>
      </c>
      <c r="Q27" s="433">
        <f t="shared" si="12"/>
        <v>691547.8</v>
      </c>
      <c r="R27" s="433">
        <v>-92479.6</v>
      </c>
      <c r="S27" s="433">
        <f t="shared" si="13"/>
        <v>599068.20000000007</v>
      </c>
      <c r="T27" s="433">
        <f t="shared" si="14"/>
        <v>722902.70000000007</v>
      </c>
      <c r="U27" s="809" t="s">
        <v>1214</v>
      </c>
    </row>
    <row r="28" spans="1:25" s="315" customFormat="1" ht="10.35" hidden="1" customHeight="1">
      <c r="A28" s="759" t="s">
        <v>1207</v>
      </c>
      <c r="B28" s="759"/>
      <c r="C28" s="968">
        <v>134168.29999999999</v>
      </c>
      <c r="D28" s="968">
        <v>-186.1</v>
      </c>
      <c r="E28" s="968">
        <v>-6559.3</v>
      </c>
      <c r="F28" s="903">
        <f t="shared" si="8"/>
        <v>127422.89999999998</v>
      </c>
      <c r="G28" s="968">
        <v>114816.7</v>
      </c>
      <c r="H28" s="968">
        <v>249.4</v>
      </c>
      <c r="I28" s="968">
        <v>68491.7</v>
      </c>
      <c r="J28" s="433">
        <f t="shared" si="9"/>
        <v>183557.8</v>
      </c>
      <c r="K28" s="1013">
        <v>12191.8</v>
      </c>
      <c r="L28" s="968">
        <v>36.299999999999997</v>
      </c>
      <c r="M28" s="433">
        <f t="shared" si="10"/>
        <v>12228.099999999999</v>
      </c>
      <c r="N28" s="968">
        <v>465842.8</v>
      </c>
      <c r="O28" s="968">
        <v>40785.699999999997</v>
      </c>
      <c r="P28" s="433">
        <f t="shared" si="11"/>
        <v>506628.5</v>
      </c>
      <c r="Q28" s="433">
        <f t="shared" si="12"/>
        <v>702414.4</v>
      </c>
      <c r="R28" s="433">
        <v>-93699.3</v>
      </c>
      <c r="S28" s="433">
        <f t="shared" si="13"/>
        <v>608715.1</v>
      </c>
      <c r="T28" s="433">
        <f t="shared" si="14"/>
        <v>736138</v>
      </c>
      <c r="U28" s="809" t="s">
        <v>1207</v>
      </c>
      <c r="V28" s="393"/>
    </row>
    <row r="29" spans="1:25" s="315" customFormat="1" ht="10.35" hidden="1" customHeight="1">
      <c r="A29" s="759" t="s">
        <v>1215</v>
      </c>
      <c r="B29" s="759"/>
      <c r="C29" s="968">
        <v>136664.6</v>
      </c>
      <c r="D29" s="968">
        <v>-186.5</v>
      </c>
      <c r="E29" s="968">
        <v>-6555.3</v>
      </c>
      <c r="F29" s="903">
        <f t="shared" si="8"/>
        <v>129922.8</v>
      </c>
      <c r="G29" s="968">
        <v>114929.29999999999</v>
      </c>
      <c r="H29" s="968">
        <v>195.3</v>
      </c>
      <c r="I29" s="968">
        <v>69617.5</v>
      </c>
      <c r="J29" s="433">
        <f t="shared" si="9"/>
        <v>184742.09999999998</v>
      </c>
      <c r="K29" s="1013">
        <v>12316.5</v>
      </c>
      <c r="L29" s="968">
        <v>37.9</v>
      </c>
      <c r="M29" s="433">
        <f t="shared" si="10"/>
        <v>12354.4</v>
      </c>
      <c r="N29" s="968">
        <v>464629.3</v>
      </c>
      <c r="O29" s="968">
        <v>41079.800000000003</v>
      </c>
      <c r="P29" s="433">
        <f t="shared" si="11"/>
        <v>505709.1</v>
      </c>
      <c r="Q29" s="433">
        <f t="shared" si="12"/>
        <v>702805.6</v>
      </c>
      <c r="R29" s="433">
        <v>-95348.2</v>
      </c>
      <c r="S29" s="433">
        <f t="shared" si="13"/>
        <v>607457.4</v>
      </c>
      <c r="T29" s="433">
        <f t="shared" si="14"/>
        <v>737380.20000000007</v>
      </c>
      <c r="U29" s="809" t="s">
        <v>1215</v>
      </c>
      <c r="V29" s="393"/>
    </row>
    <row r="30" spans="1:25" s="315" customFormat="1" ht="10.35" hidden="1" customHeight="1">
      <c r="A30" s="759" t="s">
        <v>1216</v>
      </c>
      <c r="B30" s="759"/>
      <c r="C30" s="968">
        <v>143036.6</v>
      </c>
      <c r="D30" s="968">
        <v>-186.8</v>
      </c>
      <c r="E30" s="968">
        <v>-6582.9</v>
      </c>
      <c r="F30" s="903">
        <f t="shared" si="8"/>
        <v>136266.90000000002</v>
      </c>
      <c r="G30" s="968">
        <v>115989.3</v>
      </c>
      <c r="H30" s="968">
        <v>210.8</v>
      </c>
      <c r="I30" s="968">
        <v>70879.7</v>
      </c>
      <c r="J30" s="433">
        <f t="shared" si="9"/>
        <v>187079.8</v>
      </c>
      <c r="K30" s="1013">
        <v>12533</v>
      </c>
      <c r="L30" s="968">
        <v>38.799999999999997</v>
      </c>
      <c r="M30" s="433">
        <f t="shared" si="10"/>
        <v>12571.8</v>
      </c>
      <c r="N30" s="968">
        <v>466480.9</v>
      </c>
      <c r="O30" s="968">
        <v>41423.699999999997</v>
      </c>
      <c r="P30" s="433">
        <f t="shared" si="11"/>
        <v>507904.60000000003</v>
      </c>
      <c r="Q30" s="433">
        <f t="shared" si="12"/>
        <v>707556.2</v>
      </c>
      <c r="R30" s="433">
        <v>-96645.5</v>
      </c>
      <c r="S30" s="433">
        <f>Q30+R30</f>
        <v>610910.69999999995</v>
      </c>
      <c r="T30" s="433">
        <f>F30+S30</f>
        <v>747177.6</v>
      </c>
      <c r="U30" s="809" t="s">
        <v>1216</v>
      </c>
      <c r="V30" s="393"/>
    </row>
    <row r="31" spans="1:25" s="315" customFormat="1" ht="10.35" hidden="1" customHeight="1">
      <c r="A31" s="759" t="s">
        <v>1208</v>
      </c>
      <c r="B31" s="759"/>
      <c r="C31" s="968">
        <v>146907.4</v>
      </c>
      <c r="D31" s="968">
        <v>-333.6</v>
      </c>
      <c r="E31" s="968">
        <v>-6587.2</v>
      </c>
      <c r="F31" s="903">
        <f t="shared" si="8"/>
        <v>139986.59999999998</v>
      </c>
      <c r="G31" s="968">
        <v>114014.5</v>
      </c>
      <c r="H31" s="968">
        <v>162.19999999999999</v>
      </c>
      <c r="I31" s="968">
        <v>72095</v>
      </c>
      <c r="J31" s="433">
        <f t="shared" si="9"/>
        <v>186271.7</v>
      </c>
      <c r="K31" s="1013">
        <v>13186.3</v>
      </c>
      <c r="L31" s="968">
        <v>38.299999999999997</v>
      </c>
      <c r="M31" s="433">
        <f t="shared" si="10"/>
        <v>13224.599999999999</v>
      </c>
      <c r="N31" s="534">
        <v>472534.6</v>
      </c>
      <c r="O31" s="968">
        <v>42305.8</v>
      </c>
      <c r="P31" s="433">
        <f t="shared" si="11"/>
        <v>514840.39999999997</v>
      </c>
      <c r="Q31" s="433">
        <f t="shared" si="12"/>
        <v>714336.7</v>
      </c>
      <c r="R31" s="433">
        <v>-100321.8</v>
      </c>
      <c r="S31" s="433">
        <f>Q31+R31</f>
        <v>614014.89999999991</v>
      </c>
      <c r="T31" s="433">
        <f>F31+S31</f>
        <v>754001.49999999988</v>
      </c>
      <c r="U31" s="809" t="s">
        <v>1208</v>
      </c>
      <c r="V31" s="393"/>
    </row>
    <row r="32" spans="1:25" s="482" customFormat="1" ht="10.35" hidden="1" customHeight="1">
      <c r="A32" s="1032" t="s">
        <v>1217</v>
      </c>
      <c r="B32" s="741"/>
      <c r="C32" s="913">
        <v>150352.1</v>
      </c>
      <c r="D32" s="913">
        <v>-333.9</v>
      </c>
      <c r="E32" s="913">
        <v>-6621.2</v>
      </c>
      <c r="F32" s="913">
        <f t="shared" si="8"/>
        <v>143397</v>
      </c>
      <c r="G32" s="913">
        <v>113143.8</v>
      </c>
      <c r="H32" s="913">
        <v>184</v>
      </c>
      <c r="I32" s="913">
        <v>73368.5</v>
      </c>
      <c r="J32" s="913">
        <f t="shared" si="9"/>
        <v>186696.3</v>
      </c>
      <c r="K32" s="913">
        <v>13078.4</v>
      </c>
      <c r="L32" s="913">
        <v>39.9</v>
      </c>
      <c r="M32" s="913">
        <f t="shared" si="10"/>
        <v>13118.3</v>
      </c>
      <c r="N32" s="913">
        <v>478406.6</v>
      </c>
      <c r="O32" s="913">
        <v>42680.2</v>
      </c>
      <c r="P32" s="913">
        <f>N32+O32</f>
        <v>521086.8</v>
      </c>
      <c r="Q32" s="913">
        <f>J32+M32+P32</f>
        <v>720901.39999999991</v>
      </c>
      <c r="R32" s="913">
        <v>-103374.1</v>
      </c>
      <c r="S32" s="913">
        <f>Q32+R32</f>
        <v>617527.29999999993</v>
      </c>
      <c r="T32" s="913">
        <f>F32+S32</f>
        <v>760924.29999999993</v>
      </c>
      <c r="U32" s="1033" t="s">
        <v>1217</v>
      </c>
      <c r="V32" s="433"/>
    </row>
    <row r="33" spans="1:22" s="482" customFormat="1" ht="10.35" hidden="1" customHeight="1">
      <c r="A33" s="1032" t="s">
        <v>1218</v>
      </c>
      <c r="B33" s="741"/>
      <c r="C33" s="913">
        <v>154204.20000000001</v>
      </c>
      <c r="D33" s="913">
        <v>-334.2</v>
      </c>
      <c r="E33" s="913">
        <v>-6674.9</v>
      </c>
      <c r="F33" s="913">
        <f t="shared" si="8"/>
        <v>147195.1</v>
      </c>
      <c r="G33" s="913">
        <v>111922.5</v>
      </c>
      <c r="H33" s="913">
        <v>190.8</v>
      </c>
      <c r="I33" s="913">
        <v>74652.3</v>
      </c>
      <c r="J33" s="913">
        <f t="shared" si="9"/>
        <v>186765.6</v>
      </c>
      <c r="K33" s="913">
        <v>13779.6</v>
      </c>
      <c r="L33" s="913">
        <v>40.9</v>
      </c>
      <c r="M33" s="913">
        <f t="shared" si="10"/>
        <v>13820.5</v>
      </c>
      <c r="N33" s="913">
        <v>481172.4</v>
      </c>
      <c r="O33" s="913">
        <v>43015.6</v>
      </c>
      <c r="P33" s="913">
        <f>N33+O33</f>
        <v>524188</v>
      </c>
      <c r="Q33" s="913">
        <f>J33+M33+P33</f>
        <v>724774.1</v>
      </c>
      <c r="R33" s="913">
        <v>-100733.9</v>
      </c>
      <c r="S33" s="913">
        <f>Q33+R33</f>
        <v>624040.19999999995</v>
      </c>
      <c r="T33" s="913">
        <f>F33+S33</f>
        <v>771235.29999999993</v>
      </c>
      <c r="U33" s="1033" t="s">
        <v>1218</v>
      </c>
      <c r="V33" s="433"/>
    </row>
    <row r="34" spans="1:22" s="482" customFormat="1" ht="10.35" hidden="1" customHeight="1">
      <c r="A34" s="1032" t="s">
        <v>1209</v>
      </c>
      <c r="B34" s="741"/>
      <c r="C34" s="913">
        <v>160056.6</v>
      </c>
      <c r="D34" s="913">
        <v>-318.89999999999998</v>
      </c>
      <c r="E34" s="913">
        <v>-6695</v>
      </c>
      <c r="F34" s="913">
        <f t="shared" si="8"/>
        <v>153042.70000000001</v>
      </c>
      <c r="G34" s="913">
        <v>117498.3</v>
      </c>
      <c r="H34" s="913">
        <v>266.89999999999998</v>
      </c>
      <c r="I34" s="913">
        <v>76341.3</v>
      </c>
      <c r="J34" s="913">
        <f t="shared" si="9"/>
        <v>194106.5</v>
      </c>
      <c r="K34" s="913">
        <v>12612.9</v>
      </c>
      <c r="L34" s="913">
        <v>40.6</v>
      </c>
      <c r="M34" s="913">
        <f t="shared" si="10"/>
        <v>12653.5</v>
      </c>
      <c r="N34" s="913">
        <v>493936.5</v>
      </c>
      <c r="O34" s="913">
        <v>43834.8</v>
      </c>
      <c r="P34" s="913">
        <f>N34+O34</f>
        <v>537771.30000000005</v>
      </c>
      <c r="Q34" s="913">
        <f>J34+M34+P34</f>
        <v>744531.3</v>
      </c>
      <c r="R34" s="913">
        <v>-105128.7</v>
      </c>
      <c r="S34" s="913">
        <f>Q34+R34</f>
        <v>639402.60000000009</v>
      </c>
      <c r="T34" s="913">
        <f>F34+S34</f>
        <v>792445.3</v>
      </c>
      <c r="U34" s="1033" t="s">
        <v>1851</v>
      </c>
      <c r="V34" s="433"/>
    </row>
    <row r="35" spans="1:22" s="918" customFormat="1" ht="10.35" customHeight="1">
      <c r="A35" s="1102" t="s">
        <v>2376</v>
      </c>
      <c r="B35" s="1103"/>
      <c r="C35" s="1104">
        <f>C47</f>
        <v>189228.79999999999</v>
      </c>
      <c r="D35" s="1104">
        <f t="shared" ref="D35:T35" si="15">D47</f>
        <v>-274.10000000000002</v>
      </c>
      <c r="E35" s="1104">
        <f t="shared" si="15"/>
        <v>-7257.5</v>
      </c>
      <c r="F35" s="1104">
        <f t="shared" si="15"/>
        <v>181697.19999999998</v>
      </c>
      <c r="G35" s="1104">
        <f t="shared" si="15"/>
        <v>110224.8</v>
      </c>
      <c r="H35" s="1104">
        <f t="shared" si="15"/>
        <v>183.4</v>
      </c>
      <c r="I35" s="1104">
        <f t="shared" si="15"/>
        <v>105074</v>
      </c>
      <c r="J35" s="1104">
        <f t="shared" si="15"/>
        <v>215482.2</v>
      </c>
      <c r="K35" s="1104">
        <f t="shared" si="15"/>
        <v>16448.8</v>
      </c>
      <c r="L35" s="1104">
        <f t="shared" si="15"/>
        <v>80.3</v>
      </c>
      <c r="M35" s="1104">
        <f t="shared" si="15"/>
        <v>16529.099999999999</v>
      </c>
      <c r="N35" s="1104">
        <f t="shared" si="15"/>
        <v>557021.80000000005</v>
      </c>
      <c r="O35" s="1104">
        <f t="shared" si="15"/>
        <v>50121.5</v>
      </c>
      <c r="P35" s="1104">
        <f t="shared" si="15"/>
        <v>607143.30000000005</v>
      </c>
      <c r="Q35" s="1104">
        <f t="shared" si="15"/>
        <v>839154.60000000009</v>
      </c>
      <c r="R35" s="1104">
        <f t="shared" si="15"/>
        <v>-110802.8</v>
      </c>
      <c r="S35" s="1104">
        <f t="shared" si="15"/>
        <v>728351.8</v>
      </c>
      <c r="T35" s="1104">
        <f t="shared" si="15"/>
        <v>910049</v>
      </c>
      <c r="U35" s="1105" t="s">
        <v>2376</v>
      </c>
      <c r="V35" s="657"/>
    </row>
    <row r="36" spans="1:22" s="482" customFormat="1" ht="10.35" customHeight="1">
      <c r="A36" s="1032" t="s">
        <v>1211</v>
      </c>
      <c r="B36" s="741"/>
      <c r="C36" s="913">
        <v>162620.6</v>
      </c>
      <c r="D36" s="968">
        <v>-319.2</v>
      </c>
      <c r="E36" s="1372">
        <v>-6701.8</v>
      </c>
      <c r="F36" s="913">
        <f t="shared" si="8"/>
        <v>155599.6</v>
      </c>
      <c r="G36" s="913">
        <v>124671.8</v>
      </c>
      <c r="H36" s="913">
        <v>234.5</v>
      </c>
      <c r="I36" s="1372">
        <v>78199.100000000006</v>
      </c>
      <c r="J36" s="913">
        <f t="shared" si="9"/>
        <v>203105.40000000002</v>
      </c>
      <c r="K36" s="913">
        <v>13137.6</v>
      </c>
      <c r="L36" s="913">
        <v>40.5</v>
      </c>
      <c r="M36" s="913">
        <f t="shared" si="10"/>
        <v>13178.1</v>
      </c>
      <c r="N36" s="913">
        <v>493788</v>
      </c>
      <c r="O36" s="913">
        <v>44271.6</v>
      </c>
      <c r="P36" s="913">
        <f t="shared" ref="P36:P41" si="16">N36+O36</f>
        <v>538059.6</v>
      </c>
      <c r="Q36" s="913">
        <f t="shared" ref="Q36:Q41" si="17">J36+M36+P36</f>
        <v>754343.1</v>
      </c>
      <c r="R36" s="913">
        <v>-101506.1</v>
      </c>
      <c r="S36" s="913">
        <f t="shared" ref="S36:S41" si="18">Q36+R36</f>
        <v>652837</v>
      </c>
      <c r="T36" s="913">
        <f t="shared" ref="T36:T41" si="19">F36+S36</f>
        <v>808436.6</v>
      </c>
      <c r="U36" s="1033" t="s">
        <v>1211</v>
      </c>
      <c r="V36" s="433"/>
    </row>
    <row r="37" spans="1:22" s="482" customFormat="1" ht="10.35" customHeight="1">
      <c r="A37" s="1032" t="s">
        <v>1212</v>
      </c>
      <c r="B37" s="741"/>
      <c r="C37" s="913">
        <v>163079.29999999999</v>
      </c>
      <c r="D37" s="913">
        <v>-319.39999999999998</v>
      </c>
      <c r="E37" s="913">
        <v>-6776.7</v>
      </c>
      <c r="F37" s="913">
        <f t="shared" si="8"/>
        <v>155983.19999999998</v>
      </c>
      <c r="G37" s="913">
        <v>119462.1</v>
      </c>
      <c r="H37" s="913">
        <v>403.4</v>
      </c>
      <c r="I37" s="913">
        <v>80669.8</v>
      </c>
      <c r="J37" s="913">
        <f t="shared" si="9"/>
        <v>200535.3</v>
      </c>
      <c r="K37" s="913">
        <v>14423.4</v>
      </c>
      <c r="L37" s="913">
        <v>41.9</v>
      </c>
      <c r="M37" s="913">
        <f t="shared" si="10"/>
        <v>14465.3</v>
      </c>
      <c r="N37" s="913">
        <v>498755.3</v>
      </c>
      <c r="O37" s="913">
        <v>44495.5</v>
      </c>
      <c r="P37" s="913">
        <f t="shared" si="16"/>
        <v>543250.80000000005</v>
      </c>
      <c r="Q37" s="913">
        <f t="shared" si="17"/>
        <v>758251.4</v>
      </c>
      <c r="R37" s="913">
        <v>-104379.5</v>
      </c>
      <c r="S37" s="913">
        <f t="shared" si="18"/>
        <v>653871.9</v>
      </c>
      <c r="T37" s="913">
        <f t="shared" si="19"/>
        <v>809855.1</v>
      </c>
      <c r="U37" s="1033" t="s">
        <v>1212</v>
      </c>
      <c r="V37" s="433"/>
    </row>
    <row r="38" spans="1:22" s="482" customFormat="1" ht="10.35" customHeight="1">
      <c r="A38" s="1032" t="s">
        <v>1206</v>
      </c>
      <c r="B38" s="741"/>
      <c r="C38" s="913">
        <v>165092.29999999999</v>
      </c>
      <c r="D38" s="913">
        <v>-311.3</v>
      </c>
      <c r="E38" s="1372">
        <v>-6838.4</v>
      </c>
      <c r="F38" s="913">
        <f t="shared" si="8"/>
        <v>157942.6</v>
      </c>
      <c r="G38" s="913">
        <v>121215</v>
      </c>
      <c r="H38" s="913">
        <v>392.8</v>
      </c>
      <c r="I38" s="1372">
        <v>83162.3</v>
      </c>
      <c r="J38" s="913">
        <f t="shared" si="9"/>
        <v>204770.1</v>
      </c>
      <c r="K38" s="913">
        <v>14390.4</v>
      </c>
      <c r="L38" s="913">
        <v>34.299999999999997</v>
      </c>
      <c r="M38" s="913">
        <f t="shared" si="10"/>
        <v>14424.699999999999</v>
      </c>
      <c r="N38" s="913">
        <v>506815.7</v>
      </c>
      <c r="O38" s="913">
        <v>45799.6</v>
      </c>
      <c r="P38" s="913">
        <f t="shared" si="16"/>
        <v>552615.30000000005</v>
      </c>
      <c r="Q38" s="913">
        <f t="shared" si="17"/>
        <v>771810.10000000009</v>
      </c>
      <c r="R38" s="913">
        <v>-105568.3</v>
      </c>
      <c r="S38" s="913">
        <f t="shared" si="18"/>
        <v>666241.80000000005</v>
      </c>
      <c r="T38" s="913">
        <f t="shared" si="19"/>
        <v>824184.4</v>
      </c>
      <c r="U38" s="1033" t="s">
        <v>1206</v>
      </c>
      <c r="V38" s="433"/>
    </row>
    <row r="39" spans="1:22" s="482" customFormat="1" ht="10.35" customHeight="1">
      <c r="A39" s="1032" t="s">
        <v>1213</v>
      </c>
      <c r="B39" s="741"/>
      <c r="C39" s="913">
        <v>163911</v>
      </c>
      <c r="D39" s="913">
        <v>-311.5</v>
      </c>
      <c r="E39" s="913">
        <v>-6843</v>
      </c>
      <c r="F39" s="913">
        <f t="shared" si="8"/>
        <v>156756.5</v>
      </c>
      <c r="G39" s="913">
        <v>117625.5</v>
      </c>
      <c r="H39" s="913">
        <v>373.7</v>
      </c>
      <c r="I39" s="913">
        <v>85418.9</v>
      </c>
      <c r="J39" s="913">
        <f t="shared" si="9"/>
        <v>203418.09999999998</v>
      </c>
      <c r="K39" s="913">
        <v>14337.6</v>
      </c>
      <c r="L39" s="913">
        <v>36.200000000000003</v>
      </c>
      <c r="M39" s="913">
        <f t="shared" si="10"/>
        <v>14373.800000000001</v>
      </c>
      <c r="N39" s="913">
        <v>509391.5</v>
      </c>
      <c r="O39" s="913">
        <v>46168</v>
      </c>
      <c r="P39" s="913">
        <f t="shared" si="16"/>
        <v>555559.5</v>
      </c>
      <c r="Q39" s="913">
        <f t="shared" si="17"/>
        <v>773351.39999999991</v>
      </c>
      <c r="R39" s="913">
        <v>-107844.6</v>
      </c>
      <c r="S39" s="913">
        <f t="shared" si="18"/>
        <v>665506.79999999993</v>
      </c>
      <c r="T39" s="913">
        <f t="shared" si="19"/>
        <v>822263.29999999993</v>
      </c>
      <c r="U39" s="1033" t="s">
        <v>1213</v>
      </c>
      <c r="V39" s="433"/>
    </row>
    <row r="40" spans="1:22" s="482" customFormat="1" ht="10.35" customHeight="1">
      <c r="A40" s="1032" t="s">
        <v>1214</v>
      </c>
      <c r="B40" s="741"/>
      <c r="C40" s="913">
        <v>163722</v>
      </c>
      <c r="D40" s="913">
        <v>-311.7</v>
      </c>
      <c r="E40" s="1372">
        <v>-6916.5</v>
      </c>
      <c r="F40" s="913">
        <f t="shared" si="8"/>
        <v>156493.79999999999</v>
      </c>
      <c r="G40" s="913">
        <v>114659.4</v>
      </c>
      <c r="H40" s="913">
        <v>296.39999999999998</v>
      </c>
      <c r="I40" s="1372">
        <v>87583.4</v>
      </c>
      <c r="J40" s="913">
        <f t="shared" si="9"/>
        <v>202539.19999999998</v>
      </c>
      <c r="K40" s="913">
        <v>16191.9</v>
      </c>
      <c r="L40" s="913">
        <v>29.1</v>
      </c>
      <c r="M40" s="913">
        <f t="shared" si="10"/>
        <v>16221</v>
      </c>
      <c r="N40" s="913">
        <v>515269.4</v>
      </c>
      <c r="O40" s="913">
        <v>46647</v>
      </c>
      <c r="P40" s="913">
        <f t="shared" si="16"/>
        <v>561916.4</v>
      </c>
      <c r="Q40" s="913">
        <f t="shared" si="17"/>
        <v>780676.6</v>
      </c>
      <c r="R40" s="913">
        <v>-107629.6</v>
      </c>
      <c r="S40" s="913">
        <f t="shared" si="18"/>
        <v>673047</v>
      </c>
      <c r="T40" s="913">
        <f t="shared" si="19"/>
        <v>829540.8</v>
      </c>
      <c r="U40" s="1033" t="s">
        <v>1214</v>
      </c>
      <c r="V40" s="433"/>
    </row>
    <row r="41" spans="1:22" s="482" customFormat="1" ht="10.35" customHeight="1">
      <c r="A41" s="1032" t="s">
        <v>1207</v>
      </c>
      <c r="B41" s="741"/>
      <c r="C41" s="913">
        <v>167301.9</v>
      </c>
      <c r="D41" s="913">
        <v>-296.39999999999998</v>
      </c>
      <c r="E41" s="433">
        <v>-6911.1</v>
      </c>
      <c r="F41" s="913">
        <f t="shared" si="8"/>
        <v>160094.39999999999</v>
      </c>
      <c r="G41" s="913">
        <v>112061</v>
      </c>
      <c r="H41" s="913">
        <v>249.1</v>
      </c>
      <c r="I41" s="433">
        <v>89476.800000000003</v>
      </c>
      <c r="J41" s="913">
        <f t="shared" si="9"/>
        <v>201786.90000000002</v>
      </c>
      <c r="K41" s="913">
        <v>18130.8</v>
      </c>
      <c r="L41" s="913">
        <v>29.3</v>
      </c>
      <c r="M41" s="913">
        <f t="shared" si="10"/>
        <v>18160.099999999999</v>
      </c>
      <c r="N41" s="913">
        <v>527873.30000000005</v>
      </c>
      <c r="O41" s="913">
        <v>47646.2</v>
      </c>
      <c r="P41" s="913">
        <f t="shared" si="16"/>
        <v>575519.5</v>
      </c>
      <c r="Q41" s="913">
        <f t="shared" si="17"/>
        <v>795466.5</v>
      </c>
      <c r="R41" s="913">
        <v>-106395</v>
      </c>
      <c r="S41" s="913">
        <f t="shared" si="18"/>
        <v>689071.5</v>
      </c>
      <c r="T41" s="913">
        <f t="shared" si="19"/>
        <v>849165.9</v>
      </c>
      <c r="U41" s="1033" t="s">
        <v>1207</v>
      </c>
      <c r="V41" s="433"/>
    </row>
    <row r="42" spans="1:22" s="482" customFormat="1" ht="10.35" customHeight="1">
      <c r="A42" s="1032" t="s">
        <v>1215</v>
      </c>
      <c r="B42" s="741"/>
      <c r="C42" s="913">
        <v>167657.9</v>
      </c>
      <c r="D42" s="913">
        <v>-296.60000000000002</v>
      </c>
      <c r="E42" s="1372">
        <v>-6971.7</v>
      </c>
      <c r="F42" s="913">
        <f t="shared" si="8"/>
        <v>160389.59999999998</v>
      </c>
      <c r="G42" s="913">
        <v>111202.1</v>
      </c>
      <c r="H42" s="913">
        <v>252.4</v>
      </c>
      <c r="I42" s="1372">
        <v>92080.3</v>
      </c>
      <c r="J42" s="913">
        <f t="shared" si="9"/>
        <v>203534.8</v>
      </c>
      <c r="K42" s="913">
        <v>17788.7</v>
      </c>
      <c r="L42" s="913">
        <v>27.3</v>
      </c>
      <c r="M42" s="913">
        <f t="shared" si="10"/>
        <v>17816</v>
      </c>
      <c r="N42" s="913">
        <v>525823.19999999995</v>
      </c>
      <c r="O42" s="913">
        <v>48210.400000000001</v>
      </c>
      <c r="P42" s="913">
        <f t="shared" ref="P42:P47" si="20">N42+O42</f>
        <v>574033.6</v>
      </c>
      <c r="Q42" s="913">
        <f t="shared" ref="Q42:Q47" si="21">J42+M42+P42</f>
        <v>795384.39999999991</v>
      </c>
      <c r="R42" s="913">
        <v>-106929.3</v>
      </c>
      <c r="S42" s="913">
        <f t="shared" ref="S42:S47" si="22">Q42+R42</f>
        <v>688455.09999999986</v>
      </c>
      <c r="T42" s="913">
        <f t="shared" ref="T42:T47" si="23">F42+S42</f>
        <v>848844.69999999984</v>
      </c>
      <c r="U42" s="1033" t="s">
        <v>1215</v>
      </c>
      <c r="V42" s="433"/>
    </row>
    <row r="43" spans="1:22" s="482" customFormat="1" ht="10.35" customHeight="1">
      <c r="A43" s="1032" t="s">
        <v>1216</v>
      </c>
      <c r="B43" s="741"/>
      <c r="C43" s="913">
        <v>171593.60000000001</v>
      </c>
      <c r="D43" s="913">
        <v>-296.8</v>
      </c>
      <c r="E43" s="433">
        <v>-7037.8</v>
      </c>
      <c r="F43" s="913">
        <f t="shared" si="8"/>
        <v>164259.00000000003</v>
      </c>
      <c r="G43" s="913">
        <v>110667.5</v>
      </c>
      <c r="H43" s="913">
        <v>345.4</v>
      </c>
      <c r="I43" s="433">
        <v>94624.5</v>
      </c>
      <c r="J43" s="913">
        <f t="shared" si="9"/>
        <v>205637.4</v>
      </c>
      <c r="K43" s="913">
        <v>17229.099999999999</v>
      </c>
      <c r="L43" s="913">
        <v>26.5</v>
      </c>
      <c r="M43" s="913">
        <f t="shared" si="10"/>
        <v>17255.599999999999</v>
      </c>
      <c r="N43" s="913">
        <v>529070</v>
      </c>
      <c r="O43" s="913">
        <v>48858.1</v>
      </c>
      <c r="P43" s="913">
        <f t="shared" si="20"/>
        <v>577928.1</v>
      </c>
      <c r="Q43" s="913">
        <f t="shared" si="21"/>
        <v>800821.1</v>
      </c>
      <c r="R43" s="913">
        <v>-105211.8</v>
      </c>
      <c r="S43" s="913">
        <f t="shared" si="22"/>
        <v>695609.29999999993</v>
      </c>
      <c r="T43" s="913">
        <f t="shared" si="23"/>
        <v>859868.29999999993</v>
      </c>
      <c r="U43" s="1033" t="s">
        <v>1216</v>
      </c>
      <c r="V43" s="433"/>
    </row>
    <row r="44" spans="1:22" s="482" customFormat="1" ht="10.35" customHeight="1">
      <c r="A44" s="1032" t="s">
        <v>1208</v>
      </c>
      <c r="B44" s="741"/>
      <c r="C44" s="913">
        <v>177494.1</v>
      </c>
      <c r="D44" s="913">
        <v>-288.89999999999998</v>
      </c>
      <c r="E44" s="433">
        <v>-7098.8</v>
      </c>
      <c r="F44" s="913">
        <f t="shared" si="8"/>
        <v>170106.40000000002</v>
      </c>
      <c r="G44" s="913">
        <v>105618.5</v>
      </c>
      <c r="H44" s="913">
        <v>206.6</v>
      </c>
      <c r="I44" s="433">
        <v>97525.4</v>
      </c>
      <c r="J44" s="913">
        <f t="shared" si="9"/>
        <v>203350.5</v>
      </c>
      <c r="K44" s="913">
        <v>17807.099999999999</v>
      </c>
      <c r="L44" s="913">
        <v>46.6</v>
      </c>
      <c r="M44" s="913">
        <f t="shared" si="10"/>
        <v>17853.699999999997</v>
      </c>
      <c r="N44" s="913">
        <v>536433.1</v>
      </c>
      <c r="O44" s="913">
        <v>48900.6</v>
      </c>
      <c r="P44" s="913">
        <f t="shared" si="20"/>
        <v>585333.69999999995</v>
      </c>
      <c r="Q44" s="913">
        <f t="shared" si="21"/>
        <v>806537.89999999991</v>
      </c>
      <c r="R44" s="913">
        <v>-109451.8</v>
      </c>
      <c r="S44" s="913">
        <f t="shared" si="22"/>
        <v>697086.09999999986</v>
      </c>
      <c r="T44" s="913">
        <f t="shared" si="23"/>
        <v>867192.49999999988</v>
      </c>
      <c r="U44" s="1033" t="s">
        <v>1208</v>
      </c>
      <c r="V44" s="433"/>
    </row>
    <row r="45" spans="1:22" s="482" customFormat="1" ht="10.35" customHeight="1">
      <c r="A45" s="1218" t="s">
        <v>1217</v>
      </c>
      <c r="B45" s="1219"/>
      <c r="C45" s="1220">
        <v>181244.9</v>
      </c>
      <c r="D45" s="1220">
        <v>-289.10000000000002</v>
      </c>
      <c r="E45" s="1221">
        <v>-7140.9</v>
      </c>
      <c r="F45" s="1220">
        <f t="shared" si="8"/>
        <v>173814.9</v>
      </c>
      <c r="G45" s="1220">
        <v>104269.6</v>
      </c>
      <c r="H45" s="1220">
        <v>227</v>
      </c>
      <c r="I45" s="1221">
        <v>100469.8</v>
      </c>
      <c r="J45" s="1220">
        <f t="shared" si="9"/>
        <v>204966.40000000002</v>
      </c>
      <c r="K45" s="1220">
        <v>16993.5</v>
      </c>
      <c r="L45" s="1220">
        <v>52.3</v>
      </c>
      <c r="M45" s="1220">
        <f t="shared" si="10"/>
        <v>17045.8</v>
      </c>
      <c r="N45" s="1220">
        <v>541245.19999999995</v>
      </c>
      <c r="O45" s="1220">
        <v>49071.3</v>
      </c>
      <c r="P45" s="1220">
        <f t="shared" si="20"/>
        <v>590316.5</v>
      </c>
      <c r="Q45" s="1220">
        <f t="shared" si="21"/>
        <v>812328.7</v>
      </c>
      <c r="R45" s="1220">
        <v>-112738.4</v>
      </c>
      <c r="S45" s="1220">
        <f t="shared" si="22"/>
        <v>699590.29999999993</v>
      </c>
      <c r="T45" s="1220">
        <f t="shared" si="23"/>
        <v>873405.2</v>
      </c>
      <c r="U45" s="1222" t="s">
        <v>1217</v>
      </c>
      <c r="V45" s="433"/>
    </row>
    <row r="46" spans="1:22" s="482" customFormat="1" ht="10.35" customHeight="1">
      <c r="A46" s="1032" t="s">
        <v>1218</v>
      </c>
      <c r="B46" s="741"/>
      <c r="C46" s="913">
        <v>183631.7</v>
      </c>
      <c r="D46" s="913">
        <v>-289.39999999999998</v>
      </c>
      <c r="E46" s="433">
        <v>-7182.1</v>
      </c>
      <c r="F46" s="913">
        <f t="shared" si="8"/>
        <v>176160.2</v>
      </c>
      <c r="G46" s="913">
        <v>105968.5</v>
      </c>
      <c r="H46" s="913">
        <v>181.8</v>
      </c>
      <c r="I46" s="433">
        <v>102903.8</v>
      </c>
      <c r="J46" s="913">
        <f t="shared" si="9"/>
        <v>209054.1</v>
      </c>
      <c r="K46" s="913">
        <v>16353.2</v>
      </c>
      <c r="L46" s="913">
        <v>75</v>
      </c>
      <c r="M46" s="913">
        <f t="shared" si="10"/>
        <v>16428.2</v>
      </c>
      <c r="N46" s="913">
        <v>544728.19999999995</v>
      </c>
      <c r="O46" s="913">
        <v>49506.400000000001</v>
      </c>
      <c r="P46" s="913">
        <f t="shared" si="20"/>
        <v>594234.6</v>
      </c>
      <c r="Q46" s="913">
        <f t="shared" si="21"/>
        <v>819716.9</v>
      </c>
      <c r="R46" s="913">
        <v>-106935.1</v>
      </c>
      <c r="S46" s="913">
        <f t="shared" si="22"/>
        <v>712781.8</v>
      </c>
      <c r="T46" s="913">
        <f t="shared" si="23"/>
        <v>888942</v>
      </c>
      <c r="U46" s="1033" t="s">
        <v>1218</v>
      </c>
      <c r="V46" s="433"/>
    </row>
    <row r="47" spans="1:22" s="482" customFormat="1" ht="10.35" customHeight="1">
      <c r="A47" s="1032" t="s">
        <v>1209</v>
      </c>
      <c r="B47" s="741"/>
      <c r="C47" s="913">
        <v>189228.79999999999</v>
      </c>
      <c r="D47" s="913">
        <v>-274.10000000000002</v>
      </c>
      <c r="E47" s="433">
        <v>-7257.5</v>
      </c>
      <c r="F47" s="1220">
        <f t="shared" si="8"/>
        <v>181697.19999999998</v>
      </c>
      <c r="G47" s="913">
        <v>110224.8</v>
      </c>
      <c r="H47" s="913">
        <v>183.4</v>
      </c>
      <c r="I47" s="433">
        <v>105074</v>
      </c>
      <c r="J47" s="913">
        <f t="shared" si="9"/>
        <v>215482.2</v>
      </c>
      <c r="K47" s="913">
        <v>16448.8</v>
      </c>
      <c r="L47" s="913">
        <v>80.3</v>
      </c>
      <c r="M47" s="913">
        <f t="shared" si="10"/>
        <v>16529.099999999999</v>
      </c>
      <c r="N47" s="913">
        <v>557021.80000000005</v>
      </c>
      <c r="O47" s="913">
        <v>50121.5</v>
      </c>
      <c r="P47" s="913">
        <f t="shared" si="20"/>
        <v>607143.30000000005</v>
      </c>
      <c r="Q47" s="913">
        <f t="shared" si="21"/>
        <v>839154.60000000009</v>
      </c>
      <c r="R47" s="913">
        <v>-110802.8</v>
      </c>
      <c r="S47" s="913">
        <f t="shared" si="22"/>
        <v>728351.8</v>
      </c>
      <c r="T47" s="913">
        <f t="shared" si="23"/>
        <v>910049</v>
      </c>
      <c r="U47" s="1033" t="s">
        <v>1209</v>
      </c>
      <c r="V47" s="433"/>
    </row>
    <row r="48" spans="1:22" s="482" customFormat="1" ht="11.25" customHeight="1">
      <c r="A48" s="1102" t="s">
        <v>2608</v>
      </c>
      <c r="B48" s="741"/>
      <c r="C48" s="1104">
        <f>C60</f>
        <v>233135.6</v>
      </c>
      <c r="D48" s="1104">
        <f t="shared" ref="D48:T48" si="24">D60</f>
        <v>-83</v>
      </c>
      <c r="E48" s="1104">
        <f t="shared" si="24"/>
        <v>-8475.2000000000007</v>
      </c>
      <c r="F48" s="1104">
        <f t="shared" si="24"/>
        <v>224577.4</v>
      </c>
      <c r="G48" s="1104">
        <f t="shared" si="24"/>
        <v>114189.1</v>
      </c>
      <c r="H48" s="1104">
        <f t="shared" si="24"/>
        <v>-89.1</v>
      </c>
      <c r="I48" s="1104">
        <f t="shared" si="24"/>
        <v>138762.6</v>
      </c>
      <c r="J48" s="1104">
        <f t="shared" si="24"/>
        <v>252862.6</v>
      </c>
      <c r="K48" s="1104">
        <f t="shared" si="24"/>
        <v>15573</v>
      </c>
      <c r="L48" s="1104">
        <f t="shared" si="24"/>
        <v>108.3</v>
      </c>
      <c r="M48" s="1104">
        <f t="shared" si="24"/>
        <v>15681.3</v>
      </c>
      <c r="N48" s="1104">
        <f t="shared" si="24"/>
        <v>650644</v>
      </c>
      <c r="O48" s="1104">
        <f t="shared" si="24"/>
        <v>60778.8</v>
      </c>
      <c r="P48" s="1104">
        <f t="shared" si="24"/>
        <v>711422.8</v>
      </c>
      <c r="Q48" s="1104">
        <f t="shared" si="24"/>
        <v>979966.70000000007</v>
      </c>
      <c r="R48" s="1104">
        <f t="shared" si="24"/>
        <v>-127800.9</v>
      </c>
      <c r="S48" s="1104">
        <f t="shared" si="24"/>
        <v>852165.8</v>
      </c>
      <c r="T48" s="1104">
        <f t="shared" si="24"/>
        <v>1076743.2</v>
      </c>
      <c r="U48" s="1105" t="s">
        <v>2608</v>
      </c>
      <c r="V48" s="433"/>
    </row>
    <row r="49" spans="1:22" s="482" customFormat="1" ht="9.75" customHeight="1">
      <c r="A49" s="1032" t="s">
        <v>1211</v>
      </c>
      <c r="B49" s="741"/>
      <c r="C49" s="913">
        <v>196820.2</v>
      </c>
      <c r="D49" s="913">
        <v>-274.3</v>
      </c>
      <c r="E49" s="433">
        <v>-7324.4</v>
      </c>
      <c r="F49" s="1220">
        <f t="shared" ref="F49:F54" si="25">E49+D49+C49</f>
        <v>189221.5</v>
      </c>
      <c r="G49" s="913">
        <v>121706.8</v>
      </c>
      <c r="H49" s="913">
        <v>189.3</v>
      </c>
      <c r="I49" s="433">
        <v>107050.3</v>
      </c>
      <c r="J49" s="1220">
        <f t="shared" ref="J49:J54" si="26">I49+H49+G49</f>
        <v>228946.40000000002</v>
      </c>
      <c r="K49" s="913">
        <v>15192.9</v>
      </c>
      <c r="L49" s="913">
        <v>79</v>
      </c>
      <c r="M49" s="913">
        <f t="shared" ref="M49:M54" si="27">K49+L49</f>
        <v>15271.9</v>
      </c>
      <c r="N49" s="913">
        <v>555844.6</v>
      </c>
      <c r="O49" s="913">
        <v>50644.4</v>
      </c>
      <c r="P49" s="913">
        <f t="shared" ref="P49:P54" si="28">N49+O49</f>
        <v>606489</v>
      </c>
      <c r="Q49" s="913">
        <f t="shared" ref="Q49:Q54" si="29">J49+M49+P49</f>
        <v>850707.3</v>
      </c>
      <c r="R49" s="913">
        <v>-110702.39999999999</v>
      </c>
      <c r="S49" s="913">
        <f t="shared" ref="S49:S54" si="30">Q49+R49</f>
        <v>740004.9</v>
      </c>
      <c r="T49" s="913">
        <f t="shared" ref="T49:T54" si="31">F49+S49</f>
        <v>929226.4</v>
      </c>
      <c r="U49" s="1033" t="s">
        <v>1211</v>
      </c>
      <c r="V49" s="433"/>
    </row>
    <row r="50" spans="1:22" s="482" customFormat="1" ht="9.75" customHeight="1">
      <c r="A50" s="1032" t="s">
        <v>1212</v>
      </c>
      <c r="B50" s="741"/>
      <c r="C50" s="913">
        <v>198475</v>
      </c>
      <c r="D50" s="913">
        <v>-274.7</v>
      </c>
      <c r="E50" s="433">
        <v>-7499.8</v>
      </c>
      <c r="F50" s="1220">
        <f t="shared" si="25"/>
        <v>190700.5</v>
      </c>
      <c r="G50" s="913">
        <v>115652.9</v>
      </c>
      <c r="H50" s="913">
        <v>171</v>
      </c>
      <c r="I50" s="433">
        <v>109701.2</v>
      </c>
      <c r="J50" s="1220">
        <f t="shared" si="26"/>
        <v>225525.09999999998</v>
      </c>
      <c r="K50" s="913">
        <v>15339.9</v>
      </c>
      <c r="L50" s="913">
        <v>81.2</v>
      </c>
      <c r="M50" s="913">
        <f t="shared" si="27"/>
        <v>15421.1</v>
      </c>
      <c r="N50" s="913">
        <v>559927.30000000005</v>
      </c>
      <c r="O50" s="913">
        <v>51032.6</v>
      </c>
      <c r="P50" s="913">
        <f t="shared" si="28"/>
        <v>610959.9</v>
      </c>
      <c r="Q50" s="913">
        <f t="shared" si="29"/>
        <v>851906.1</v>
      </c>
      <c r="R50" s="913">
        <v>-109240.3</v>
      </c>
      <c r="S50" s="913">
        <f t="shared" si="30"/>
        <v>742665.79999999993</v>
      </c>
      <c r="T50" s="913">
        <f t="shared" si="31"/>
        <v>933366.29999999993</v>
      </c>
      <c r="U50" s="1033" t="s">
        <v>1212</v>
      </c>
      <c r="V50" s="433"/>
    </row>
    <row r="51" spans="1:22" s="482" customFormat="1" ht="9.75" customHeight="1">
      <c r="A51" s="1032" t="s">
        <v>1206</v>
      </c>
      <c r="B51" s="741"/>
      <c r="C51" s="913">
        <v>203775.9</v>
      </c>
      <c r="D51" s="913">
        <v>-266.89999999999998</v>
      </c>
      <c r="E51" s="433">
        <v>-7590.5</v>
      </c>
      <c r="F51" s="1220">
        <f t="shared" si="25"/>
        <v>195918.5</v>
      </c>
      <c r="G51" s="913">
        <v>118140.2</v>
      </c>
      <c r="H51" s="913">
        <v>15.6</v>
      </c>
      <c r="I51" s="433">
        <v>111755</v>
      </c>
      <c r="J51" s="1220">
        <f t="shared" si="26"/>
        <v>229910.8</v>
      </c>
      <c r="K51" s="913">
        <v>15435.1</v>
      </c>
      <c r="L51" s="913">
        <v>99.6</v>
      </c>
      <c r="M51" s="913">
        <f t="shared" si="27"/>
        <v>15534.7</v>
      </c>
      <c r="N51" s="913">
        <v>571404.5</v>
      </c>
      <c r="O51" s="913">
        <v>51851.1</v>
      </c>
      <c r="P51" s="913">
        <f t="shared" si="28"/>
        <v>623255.6</v>
      </c>
      <c r="Q51" s="913">
        <f t="shared" si="29"/>
        <v>868701.1</v>
      </c>
      <c r="R51" s="913">
        <v>-113091.8</v>
      </c>
      <c r="S51" s="913">
        <f t="shared" si="30"/>
        <v>755609.29999999993</v>
      </c>
      <c r="T51" s="913">
        <f t="shared" si="31"/>
        <v>951527.79999999993</v>
      </c>
      <c r="U51" s="1033" t="s">
        <v>1206</v>
      </c>
      <c r="V51" s="433"/>
    </row>
    <row r="52" spans="1:22" s="482" customFormat="1" ht="9.75" customHeight="1">
      <c r="A52" s="1032" t="s">
        <v>1213</v>
      </c>
      <c r="B52" s="741"/>
      <c r="C52" s="913">
        <v>203356.7</v>
      </c>
      <c r="D52" s="913">
        <v>-267</v>
      </c>
      <c r="E52" s="433">
        <v>-7687.7</v>
      </c>
      <c r="F52" s="1220">
        <f t="shared" si="25"/>
        <v>195402</v>
      </c>
      <c r="G52" s="913">
        <v>112618.5</v>
      </c>
      <c r="H52" s="913">
        <v>-31.6</v>
      </c>
      <c r="I52" s="433">
        <v>114107.7</v>
      </c>
      <c r="J52" s="1220">
        <f t="shared" si="26"/>
        <v>226694.59999999998</v>
      </c>
      <c r="K52" s="913">
        <v>15778.7</v>
      </c>
      <c r="L52" s="913">
        <v>99.6</v>
      </c>
      <c r="M52" s="913">
        <f t="shared" si="27"/>
        <v>15878.300000000001</v>
      </c>
      <c r="N52" s="913">
        <v>576260.5</v>
      </c>
      <c r="O52" s="913">
        <v>52138.400000000001</v>
      </c>
      <c r="P52" s="913">
        <f t="shared" si="28"/>
        <v>628398.9</v>
      </c>
      <c r="Q52" s="913">
        <f t="shared" si="29"/>
        <v>870971.8</v>
      </c>
      <c r="R52" s="913">
        <v>-114631.2</v>
      </c>
      <c r="S52" s="913">
        <f t="shared" si="30"/>
        <v>756340.60000000009</v>
      </c>
      <c r="T52" s="913">
        <f t="shared" si="31"/>
        <v>951742.60000000009</v>
      </c>
      <c r="U52" s="1033" t="s">
        <v>1213</v>
      </c>
      <c r="V52" s="433"/>
    </row>
    <row r="53" spans="1:22" s="482" customFormat="1" ht="10.5" customHeight="1">
      <c r="A53" s="1032" t="s">
        <v>1214</v>
      </c>
      <c r="B53" s="741"/>
      <c r="C53" s="913">
        <v>205753.7</v>
      </c>
      <c r="D53" s="913">
        <v>-267.10000000000002</v>
      </c>
      <c r="E53" s="433">
        <v>-7829.7</v>
      </c>
      <c r="F53" s="1220">
        <f t="shared" si="25"/>
        <v>197656.90000000002</v>
      </c>
      <c r="G53" s="913">
        <v>110075.8</v>
      </c>
      <c r="H53" s="913">
        <v>-33</v>
      </c>
      <c r="I53" s="433">
        <v>116399.9</v>
      </c>
      <c r="J53" s="1220">
        <f t="shared" si="26"/>
        <v>226442.7</v>
      </c>
      <c r="K53" s="913">
        <v>15864.6</v>
      </c>
      <c r="L53" s="913">
        <v>99.8</v>
      </c>
      <c r="M53" s="913">
        <f t="shared" si="27"/>
        <v>15964.4</v>
      </c>
      <c r="N53" s="913">
        <v>584825.4</v>
      </c>
      <c r="O53" s="913">
        <v>53682.7</v>
      </c>
      <c r="P53" s="913">
        <f t="shared" si="28"/>
        <v>638508.1</v>
      </c>
      <c r="Q53" s="913">
        <f t="shared" si="29"/>
        <v>880915.2</v>
      </c>
      <c r="R53" s="913">
        <v>-119084.1</v>
      </c>
      <c r="S53" s="913">
        <f t="shared" si="30"/>
        <v>761831.1</v>
      </c>
      <c r="T53" s="913">
        <f t="shared" si="31"/>
        <v>959488</v>
      </c>
      <c r="U53" s="1033" t="s">
        <v>1214</v>
      </c>
      <c r="V53" s="433"/>
    </row>
    <row r="54" spans="1:22" s="482" customFormat="1" ht="10.5" customHeight="1">
      <c r="A54" s="1032" t="s">
        <v>1207</v>
      </c>
      <c r="B54" s="741"/>
      <c r="C54" s="913">
        <v>209317.4</v>
      </c>
      <c r="D54" s="913">
        <v>-229.9</v>
      </c>
      <c r="E54" s="433">
        <v>-7869.5</v>
      </c>
      <c r="F54" s="1220">
        <f t="shared" si="25"/>
        <v>201218</v>
      </c>
      <c r="G54" s="913">
        <v>103457.8</v>
      </c>
      <c r="H54" s="913">
        <v>-26.3</v>
      </c>
      <c r="I54" s="433">
        <v>118379.6</v>
      </c>
      <c r="J54" s="1220">
        <f t="shared" si="26"/>
        <v>221811.1</v>
      </c>
      <c r="K54" s="913">
        <v>16269.4</v>
      </c>
      <c r="L54" s="913">
        <v>87</v>
      </c>
      <c r="M54" s="913">
        <f t="shared" si="27"/>
        <v>16356.4</v>
      </c>
      <c r="N54" s="913">
        <v>601195.4</v>
      </c>
      <c r="O54" s="913">
        <v>55338.6</v>
      </c>
      <c r="P54" s="913">
        <f t="shared" si="28"/>
        <v>656534</v>
      </c>
      <c r="Q54" s="913">
        <f t="shared" si="29"/>
        <v>894701.5</v>
      </c>
      <c r="R54" s="913">
        <v>-119588.9</v>
      </c>
      <c r="S54" s="913">
        <f t="shared" si="30"/>
        <v>775112.6</v>
      </c>
      <c r="T54" s="913">
        <f t="shared" si="31"/>
        <v>976330.6</v>
      </c>
      <c r="U54" s="1033" t="s">
        <v>1207</v>
      </c>
      <c r="V54" s="433"/>
    </row>
    <row r="55" spans="1:22" s="482" customFormat="1" ht="10.5" customHeight="1">
      <c r="A55" s="1032" t="s">
        <v>1215</v>
      </c>
      <c r="B55" s="741"/>
      <c r="C55" s="913">
        <v>210592.6</v>
      </c>
      <c r="D55" s="913">
        <v>-229.9</v>
      </c>
      <c r="E55" s="433">
        <v>-8020</v>
      </c>
      <c r="F55" s="1220">
        <f t="shared" ref="F55:F67" si="32">E55+D55+C55</f>
        <v>202342.7</v>
      </c>
      <c r="G55" s="913">
        <v>100079.6</v>
      </c>
      <c r="H55" s="913">
        <v>-30.9</v>
      </c>
      <c r="I55" s="433">
        <v>121677</v>
      </c>
      <c r="J55" s="1220">
        <f t="shared" ref="J55:J67" si="33">I55+H55+G55</f>
        <v>221725.7</v>
      </c>
      <c r="K55" s="913">
        <v>17422.5</v>
      </c>
      <c r="L55" s="913">
        <v>88.1</v>
      </c>
      <c r="M55" s="913">
        <f t="shared" ref="M55:M67" si="34">K55+L55</f>
        <v>17510.599999999999</v>
      </c>
      <c r="N55" s="913">
        <v>602905.9</v>
      </c>
      <c r="O55" s="913">
        <v>55923.1</v>
      </c>
      <c r="P55" s="913">
        <f t="shared" ref="P55:P67" si="35">N55+O55</f>
        <v>658829</v>
      </c>
      <c r="Q55" s="913">
        <f t="shared" ref="Q55:Q67" si="36">J55+M55+P55</f>
        <v>898065.3</v>
      </c>
      <c r="R55" s="913">
        <v>-123725.4</v>
      </c>
      <c r="S55" s="913">
        <f t="shared" ref="S55:S60" si="37">Q55+R55</f>
        <v>774339.9</v>
      </c>
      <c r="T55" s="913">
        <f t="shared" ref="T55:T60" si="38">F55+S55</f>
        <v>976682.60000000009</v>
      </c>
      <c r="U55" s="1033" t="s">
        <v>1215</v>
      </c>
      <c r="V55" s="433"/>
    </row>
    <row r="56" spans="1:22" s="482" customFormat="1" ht="9.75" customHeight="1">
      <c r="A56" s="1032" t="s">
        <v>1216</v>
      </c>
      <c r="B56" s="741"/>
      <c r="C56" s="913">
        <v>214670.6</v>
      </c>
      <c r="D56" s="913">
        <v>-102.1</v>
      </c>
      <c r="E56" s="433">
        <v>-8145.2</v>
      </c>
      <c r="F56" s="1220">
        <f t="shared" si="32"/>
        <v>206423.30000000002</v>
      </c>
      <c r="G56" s="913">
        <v>102659</v>
      </c>
      <c r="H56" s="913">
        <v>-45.6</v>
      </c>
      <c r="I56" s="433">
        <v>124964.5</v>
      </c>
      <c r="J56" s="1220">
        <f t="shared" si="33"/>
        <v>227577.9</v>
      </c>
      <c r="K56" s="913">
        <v>16638.5</v>
      </c>
      <c r="L56" s="913">
        <v>92.9</v>
      </c>
      <c r="M56" s="913">
        <f t="shared" si="34"/>
        <v>16731.400000000001</v>
      </c>
      <c r="N56" s="913">
        <v>608706.9</v>
      </c>
      <c r="O56" s="913">
        <v>56932.2</v>
      </c>
      <c r="P56" s="913">
        <f t="shared" si="35"/>
        <v>665639.1</v>
      </c>
      <c r="Q56" s="913">
        <f t="shared" si="36"/>
        <v>909948.39999999991</v>
      </c>
      <c r="R56" s="913">
        <v>-126109.3</v>
      </c>
      <c r="S56" s="913">
        <f t="shared" si="37"/>
        <v>783839.09999999986</v>
      </c>
      <c r="T56" s="913">
        <f t="shared" si="38"/>
        <v>990262.39999999991</v>
      </c>
      <c r="U56" s="1033" t="s">
        <v>1216</v>
      </c>
      <c r="V56" s="433"/>
    </row>
    <row r="57" spans="1:22" s="482" customFormat="1" ht="9.75" customHeight="1">
      <c r="A57" s="1032" t="s">
        <v>1208</v>
      </c>
      <c r="B57" s="741"/>
      <c r="C57" s="913">
        <v>220327.5</v>
      </c>
      <c r="D57" s="913">
        <v>-98.7</v>
      </c>
      <c r="E57" s="433">
        <v>-8245.7000000000007</v>
      </c>
      <c r="F57" s="1220">
        <f t="shared" si="32"/>
        <v>211983.1</v>
      </c>
      <c r="G57" s="913">
        <v>99749.2</v>
      </c>
      <c r="H57" s="913">
        <v>-49.7</v>
      </c>
      <c r="I57" s="433">
        <v>128262.2</v>
      </c>
      <c r="J57" s="1220">
        <f t="shared" si="33"/>
        <v>227961.7</v>
      </c>
      <c r="K57" s="913">
        <v>16808.099999999999</v>
      </c>
      <c r="L57" s="913">
        <v>101.1</v>
      </c>
      <c r="M57" s="913">
        <f t="shared" si="34"/>
        <v>16909.199999999997</v>
      </c>
      <c r="N57" s="913">
        <v>617325.69999999995</v>
      </c>
      <c r="O57" s="913">
        <v>57492.3</v>
      </c>
      <c r="P57" s="913">
        <f t="shared" si="35"/>
        <v>674818</v>
      </c>
      <c r="Q57" s="913">
        <f t="shared" si="36"/>
        <v>919688.9</v>
      </c>
      <c r="R57" s="913">
        <v>-129157.6</v>
      </c>
      <c r="S57" s="913">
        <f t="shared" si="37"/>
        <v>790531.3</v>
      </c>
      <c r="T57" s="913">
        <f t="shared" si="38"/>
        <v>1002514.4</v>
      </c>
      <c r="U57" s="1033" t="s">
        <v>1208</v>
      </c>
      <c r="V57" s="433"/>
    </row>
    <row r="58" spans="1:22" s="482" customFormat="1" ht="9.75" customHeight="1">
      <c r="A58" s="1032" t="s">
        <v>1217</v>
      </c>
      <c r="B58" s="741"/>
      <c r="C58" s="913">
        <v>222688.1</v>
      </c>
      <c r="D58" s="913">
        <v>-98.6</v>
      </c>
      <c r="E58" s="433">
        <v>-8345.6</v>
      </c>
      <c r="F58" s="913">
        <f t="shared" si="32"/>
        <v>214243.9</v>
      </c>
      <c r="G58" s="913">
        <v>97531.199999999997</v>
      </c>
      <c r="H58" s="913">
        <v>-57.9</v>
      </c>
      <c r="I58" s="433">
        <v>131561.70000000001</v>
      </c>
      <c r="J58" s="913">
        <f t="shared" si="33"/>
        <v>229035</v>
      </c>
      <c r="K58" s="913">
        <v>16675.2</v>
      </c>
      <c r="L58" s="913">
        <v>109.2</v>
      </c>
      <c r="M58" s="913">
        <f t="shared" si="34"/>
        <v>16784.400000000001</v>
      </c>
      <c r="N58" s="913">
        <v>625421.6</v>
      </c>
      <c r="O58" s="913">
        <v>58627</v>
      </c>
      <c r="P58" s="913">
        <f t="shared" si="35"/>
        <v>684048.6</v>
      </c>
      <c r="Q58" s="913">
        <f t="shared" si="36"/>
        <v>929868</v>
      </c>
      <c r="R58" s="913">
        <v>-129023.4</v>
      </c>
      <c r="S58" s="913">
        <f t="shared" si="37"/>
        <v>800844.6</v>
      </c>
      <c r="T58" s="913">
        <f t="shared" si="38"/>
        <v>1015088.5</v>
      </c>
      <c r="U58" s="1033" t="s">
        <v>1217</v>
      </c>
      <c r="V58" s="433"/>
    </row>
    <row r="59" spans="1:22" s="482" customFormat="1" ht="9.75" customHeight="1">
      <c r="A59" s="1032" t="s">
        <v>1218</v>
      </c>
      <c r="B59" s="741"/>
      <c r="C59" s="913">
        <v>223727.3</v>
      </c>
      <c r="D59" s="913">
        <v>-98.5</v>
      </c>
      <c r="E59" s="433">
        <v>-8430.2999999999993</v>
      </c>
      <c r="F59" s="913">
        <f t="shared" si="32"/>
        <v>215198.5</v>
      </c>
      <c r="G59" s="913">
        <v>102077.9</v>
      </c>
      <c r="H59" s="913">
        <v>-59.3</v>
      </c>
      <c r="I59" s="433">
        <v>135166.70000000001</v>
      </c>
      <c r="J59" s="913">
        <f t="shared" si="33"/>
        <v>237185.30000000002</v>
      </c>
      <c r="K59" s="913">
        <v>16607.900000000001</v>
      </c>
      <c r="L59" s="913">
        <v>110.9</v>
      </c>
      <c r="M59" s="913">
        <f t="shared" si="34"/>
        <v>16718.800000000003</v>
      </c>
      <c r="N59" s="913">
        <v>634238.30000000005</v>
      </c>
      <c r="O59" s="913">
        <v>59458.9</v>
      </c>
      <c r="P59" s="913">
        <f t="shared" si="35"/>
        <v>693697.20000000007</v>
      </c>
      <c r="Q59" s="913">
        <f t="shared" si="36"/>
        <v>947601.3</v>
      </c>
      <c r="R59" s="913">
        <v>-129693.1</v>
      </c>
      <c r="S59" s="913">
        <f t="shared" si="37"/>
        <v>817908.20000000007</v>
      </c>
      <c r="T59" s="913">
        <f t="shared" si="38"/>
        <v>1033106.7000000001</v>
      </c>
      <c r="U59" s="1033" t="s">
        <v>1218</v>
      </c>
      <c r="V59" s="433"/>
    </row>
    <row r="60" spans="1:22" s="482" customFormat="1" ht="12" customHeight="1">
      <c r="A60" s="737" t="s">
        <v>1209</v>
      </c>
      <c r="B60" s="741"/>
      <c r="C60" s="913">
        <v>233135.6</v>
      </c>
      <c r="D60" s="913">
        <v>-83</v>
      </c>
      <c r="E60" s="433">
        <v>-8475.2000000000007</v>
      </c>
      <c r="F60" s="913">
        <f t="shared" si="32"/>
        <v>224577.4</v>
      </c>
      <c r="G60" s="913">
        <v>114189.1</v>
      </c>
      <c r="H60" s="913">
        <v>-89.1</v>
      </c>
      <c r="I60" s="433">
        <v>138762.6</v>
      </c>
      <c r="J60" s="913">
        <f t="shared" si="33"/>
        <v>252862.6</v>
      </c>
      <c r="K60" s="913">
        <v>15573</v>
      </c>
      <c r="L60" s="913">
        <v>108.3</v>
      </c>
      <c r="M60" s="913">
        <f t="shared" si="34"/>
        <v>15681.3</v>
      </c>
      <c r="N60" s="913">
        <v>650644</v>
      </c>
      <c r="O60" s="913">
        <v>60778.8</v>
      </c>
      <c r="P60" s="913">
        <f t="shared" si="35"/>
        <v>711422.8</v>
      </c>
      <c r="Q60" s="913">
        <f t="shared" si="36"/>
        <v>979966.70000000007</v>
      </c>
      <c r="R60" s="913">
        <v>-127800.9</v>
      </c>
      <c r="S60" s="913">
        <f t="shared" si="37"/>
        <v>852165.8</v>
      </c>
      <c r="T60" s="913">
        <f t="shared" si="38"/>
        <v>1076743.2</v>
      </c>
      <c r="U60" s="910" t="s">
        <v>1209</v>
      </c>
      <c r="V60" s="433"/>
    </row>
    <row r="61" spans="1:22" s="482" customFormat="1" ht="12" customHeight="1">
      <c r="A61" s="1102" t="s">
        <v>2809</v>
      </c>
      <c r="B61" s="741"/>
      <c r="C61" s="913"/>
      <c r="D61" s="913"/>
      <c r="E61" s="433"/>
      <c r="F61" s="913"/>
      <c r="G61" s="913"/>
      <c r="H61" s="913"/>
      <c r="I61" s="433"/>
      <c r="J61" s="913"/>
      <c r="K61" s="913"/>
      <c r="L61" s="913"/>
      <c r="M61" s="913"/>
      <c r="N61" s="913"/>
      <c r="O61" s="913"/>
      <c r="P61" s="913"/>
      <c r="Q61" s="913"/>
      <c r="R61" s="913"/>
      <c r="S61" s="913"/>
      <c r="T61" s="913"/>
      <c r="U61" s="1105" t="s">
        <v>2809</v>
      </c>
      <c r="V61" s="433"/>
    </row>
    <row r="62" spans="1:22" s="482" customFormat="1" ht="12.75" customHeight="1">
      <c r="A62" s="676" t="s">
        <v>1211</v>
      </c>
      <c r="B62" s="741"/>
      <c r="C62" s="913">
        <v>235885.4</v>
      </c>
      <c r="D62" s="913">
        <v>-82.9</v>
      </c>
      <c r="E62" s="433">
        <v>-8610.6</v>
      </c>
      <c r="F62" s="913">
        <f t="shared" si="32"/>
        <v>227191.9</v>
      </c>
      <c r="G62" s="913">
        <v>116648.3</v>
      </c>
      <c r="H62" s="913">
        <v>-52.9</v>
      </c>
      <c r="I62" s="433">
        <v>142260.9</v>
      </c>
      <c r="J62" s="913">
        <f t="shared" si="33"/>
        <v>258856.3</v>
      </c>
      <c r="K62" s="913">
        <v>15529.7</v>
      </c>
      <c r="L62" s="913">
        <v>113.4</v>
      </c>
      <c r="M62" s="913">
        <f t="shared" si="34"/>
        <v>15643.1</v>
      </c>
      <c r="N62" s="913">
        <v>644864.30000000005</v>
      </c>
      <c r="O62" s="913">
        <v>61192.5</v>
      </c>
      <c r="P62" s="913">
        <f t="shared" si="35"/>
        <v>706056.8</v>
      </c>
      <c r="Q62" s="913">
        <f t="shared" si="36"/>
        <v>980556.2</v>
      </c>
      <c r="R62" s="913">
        <v>-130812.1</v>
      </c>
      <c r="S62" s="913">
        <f t="shared" ref="S62:S67" si="39">Q62+R62</f>
        <v>849744.1</v>
      </c>
      <c r="T62" s="913">
        <f t="shared" ref="T62:T67" si="40">F62+S62</f>
        <v>1076936</v>
      </c>
      <c r="U62" s="690" t="s">
        <v>1211</v>
      </c>
      <c r="V62" s="433"/>
    </row>
    <row r="63" spans="1:22" s="482" customFormat="1" ht="12.75" customHeight="1">
      <c r="A63" s="605" t="s">
        <v>1212</v>
      </c>
      <c r="B63" s="764"/>
      <c r="C63" s="970">
        <v>241535</v>
      </c>
      <c r="D63" s="970">
        <v>-82.9</v>
      </c>
      <c r="E63" s="521">
        <v>-8757.5</v>
      </c>
      <c r="F63" s="970">
        <f t="shared" si="32"/>
        <v>232694.6</v>
      </c>
      <c r="G63" s="970">
        <v>113296.3</v>
      </c>
      <c r="H63" s="970">
        <v>-60</v>
      </c>
      <c r="I63" s="521">
        <v>146558.1</v>
      </c>
      <c r="J63" s="970">
        <f t="shared" si="33"/>
        <v>259794.40000000002</v>
      </c>
      <c r="K63" s="970">
        <v>15633</v>
      </c>
      <c r="L63" s="970">
        <v>118.7</v>
      </c>
      <c r="M63" s="970">
        <f t="shared" si="34"/>
        <v>15751.7</v>
      </c>
      <c r="N63" s="970">
        <v>651267.9</v>
      </c>
      <c r="O63" s="970">
        <v>61740.4</v>
      </c>
      <c r="P63" s="970">
        <f t="shared" si="35"/>
        <v>713008.3</v>
      </c>
      <c r="Q63" s="970">
        <f t="shared" si="36"/>
        <v>988554.40000000014</v>
      </c>
      <c r="R63" s="970">
        <v>-130725.2</v>
      </c>
      <c r="S63" s="970">
        <f t="shared" si="39"/>
        <v>857829.20000000019</v>
      </c>
      <c r="T63" s="970">
        <f t="shared" si="40"/>
        <v>1090523.8000000003</v>
      </c>
      <c r="U63" s="682" t="s">
        <v>1212</v>
      </c>
      <c r="V63" s="433"/>
    </row>
    <row r="64" spans="1:22" s="482" customFormat="1" ht="12.75" customHeight="1">
      <c r="A64" s="480" t="s">
        <v>1206</v>
      </c>
      <c r="B64" s="741"/>
      <c r="C64" s="913">
        <v>246745.8</v>
      </c>
      <c r="D64" s="913">
        <v>-79.599999999999994</v>
      </c>
      <c r="E64" s="433">
        <v>-8801</v>
      </c>
      <c r="F64" s="913">
        <f t="shared" si="32"/>
        <v>237865.19999999998</v>
      </c>
      <c r="G64" s="913">
        <v>113640.1</v>
      </c>
      <c r="H64" s="913">
        <v>-53.3</v>
      </c>
      <c r="I64" s="433">
        <v>150412.6</v>
      </c>
      <c r="J64" s="913">
        <f t="shared" si="33"/>
        <v>263999.40000000002</v>
      </c>
      <c r="K64" s="913">
        <v>15429.5</v>
      </c>
      <c r="L64" s="913">
        <v>119.6</v>
      </c>
      <c r="M64" s="913">
        <f t="shared" si="34"/>
        <v>15549.1</v>
      </c>
      <c r="N64" s="913">
        <v>659321.59999999998</v>
      </c>
      <c r="O64" s="913">
        <v>62392.3</v>
      </c>
      <c r="P64" s="913">
        <f t="shared" si="35"/>
        <v>721713.9</v>
      </c>
      <c r="Q64" s="913">
        <f t="shared" si="36"/>
        <v>1001262.4</v>
      </c>
      <c r="R64" s="913">
        <v>-135906.5</v>
      </c>
      <c r="S64" s="913">
        <f t="shared" si="39"/>
        <v>865355.9</v>
      </c>
      <c r="T64" s="913">
        <f t="shared" si="40"/>
        <v>1103221.1000000001</v>
      </c>
      <c r="U64" s="736" t="s">
        <v>1206</v>
      </c>
      <c r="V64" s="433"/>
    </row>
    <row r="65" spans="1:22" s="482" customFormat="1" ht="12.75" customHeight="1">
      <c r="A65" s="605" t="s">
        <v>1213</v>
      </c>
      <c r="B65" s="764"/>
      <c r="C65" s="970">
        <v>247313.7</v>
      </c>
      <c r="D65" s="970">
        <v>-79.400000000000006</v>
      </c>
      <c r="E65" s="521">
        <v>-8873.6</v>
      </c>
      <c r="F65" s="970">
        <f t="shared" si="32"/>
        <v>238360.7</v>
      </c>
      <c r="G65" s="970">
        <v>110003</v>
      </c>
      <c r="H65" s="970">
        <v>-93.5</v>
      </c>
      <c r="I65" s="521">
        <v>154679.29999999999</v>
      </c>
      <c r="J65" s="970">
        <f t="shared" si="33"/>
        <v>264588.79999999999</v>
      </c>
      <c r="K65" s="970">
        <v>14933.8</v>
      </c>
      <c r="L65" s="970">
        <v>121.5</v>
      </c>
      <c r="M65" s="970">
        <f t="shared" si="34"/>
        <v>15055.3</v>
      </c>
      <c r="N65" s="970">
        <v>663877.80000000005</v>
      </c>
      <c r="O65" s="970">
        <v>62802.1</v>
      </c>
      <c r="P65" s="970">
        <f t="shared" si="35"/>
        <v>726679.9</v>
      </c>
      <c r="Q65" s="970">
        <f t="shared" si="36"/>
        <v>1006324</v>
      </c>
      <c r="R65" s="970">
        <v>-135056.9</v>
      </c>
      <c r="S65" s="970">
        <f t="shared" si="39"/>
        <v>871267.1</v>
      </c>
      <c r="T65" s="970">
        <f t="shared" si="40"/>
        <v>1109627.8</v>
      </c>
      <c r="U65" s="682" t="s">
        <v>1213</v>
      </c>
      <c r="V65" s="433"/>
    </row>
    <row r="66" spans="1:22" s="482" customFormat="1" ht="12.75" customHeight="1">
      <c r="A66" s="480" t="s">
        <v>1214</v>
      </c>
      <c r="B66" s="741"/>
      <c r="C66" s="913">
        <v>245055.9</v>
      </c>
      <c r="D66" s="913">
        <v>-79.400000000000006</v>
      </c>
      <c r="E66" s="433">
        <v>-8963</v>
      </c>
      <c r="F66" s="913">
        <f t="shared" si="32"/>
        <v>236013.5</v>
      </c>
      <c r="G66" s="913">
        <v>108618.9</v>
      </c>
      <c r="H66" s="913">
        <v>-77.5</v>
      </c>
      <c r="I66" s="433">
        <v>159082.1</v>
      </c>
      <c r="J66" s="913">
        <f t="shared" si="33"/>
        <v>267623.5</v>
      </c>
      <c r="K66" s="913">
        <v>15233.5</v>
      </c>
      <c r="L66" s="913">
        <v>123.8</v>
      </c>
      <c r="M66" s="913">
        <f t="shared" si="34"/>
        <v>15357.3</v>
      </c>
      <c r="N66" s="913">
        <v>672927.1</v>
      </c>
      <c r="O66" s="913">
        <v>63846.8</v>
      </c>
      <c r="P66" s="913">
        <f t="shared" si="35"/>
        <v>736773.9</v>
      </c>
      <c r="Q66" s="913">
        <f t="shared" si="36"/>
        <v>1019754.7</v>
      </c>
      <c r="R66" s="913">
        <v>-135614.29999999999</v>
      </c>
      <c r="S66" s="913">
        <f t="shared" si="39"/>
        <v>884140.39999999991</v>
      </c>
      <c r="T66" s="913">
        <f t="shared" si="40"/>
        <v>1120153.8999999999</v>
      </c>
      <c r="U66" s="736" t="s">
        <v>1214</v>
      </c>
      <c r="V66" s="433"/>
    </row>
    <row r="67" spans="1:22" s="482" customFormat="1" ht="12.75" customHeight="1" thickBot="1">
      <c r="A67" s="1343" t="s">
        <v>1207</v>
      </c>
      <c r="B67" s="1594"/>
      <c r="C67" s="1595">
        <v>247248.3</v>
      </c>
      <c r="D67" s="1595">
        <v>-63.8</v>
      </c>
      <c r="E67" s="1596">
        <v>-9026.9</v>
      </c>
      <c r="F67" s="1595">
        <f t="shared" si="32"/>
        <v>238157.59999999998</v>
      </c>
      <c r="G67" s="1595">
        <v>98616.8</v>
      </c>
      <c r="H67" s="1595">
        <v>-77.3</v>
      </c>
      <c r="I67" s="1596">
        <v>162236.1</v>
      </c>
      <c r="J67" s="1595">
        <f t="shared" si="33"/>
        <v>260775.60000000003</v>
      </c>
      <c r="K67" s="1595">
        <v>15860.7</v>
      </c>
      <c r="L67" s="1595">
        <v>126.3</v>
      </c>
      <c r="M67" s="1595">
        <f t="shared" si="34"/>
        <v>15987</v>
      </c>
      <c r="N67" s="1595">
        <v>695351.7</v>
      </c>
      <c r="O67" s="1595">
        <v>64571</v>
      </c>
      <c r="P67" s="1595">
        <f t="shared" si="35"/>
        <v>759922.7</v>
      </c>
      <c r="Q67" s="1595">
        <f t="shared" si="36"/>
        <v>1036685.3</v>
      </c>
      <c r="R67" s="1595">
        <v>-134877.4</v>
      </c>
      <c r="S67" s="1595">
        <f t="shared" si="39"/>
        <v>901807.9</v>
      </c>
      <c r="T67" s="1595">
        <f t="shared" si="40"/>
        <v>1139965.5</v>
      </c>
      <c r="U67" s="1532" t="s">
        <v>1207</v>
      </c>
      <c r="V67" s="433"/>
    </row>
    <row r="68" spans="1:22" ht="9.6" customHeight="1">
      <c r="A68" s="758" t="s">
        <v>519</v>
      </c>
      <c r="B68" s="759" t="s">
        <v>473</v>
      </c>
      <c r="C68" s="1840" t="s">
        <v>527</v>
      </c>
      <c r="D68" s="1840"/>
      <c r="E68" s="1840"/>
      <c r="F68" s="1840"/>
      <c r="G68" s="1840"/>
      <c r="H68" s="1840"/>
      <c r="I68" s="1840"/>
      <c r="J68" s="1840"/>
      <c r="K68" s="1840"/>
      <c r="L68" s="1840"/>
      <c r="M68" s="1840"/>
      <c r="N68" s="352" t="s">
        <v>523</v>
      </c>
      <c r="O68" s="1840" t="s">
        <v>1386</v>
      </c>
      <c r="P68" s="1840"/>
      <c r="Q68" s="1840"/>
      <c r="R68" s="1840"/>
      <c r="S68" s="1840"/>
      <c r="T68" s="1840"/>
      <c r="U68" s="1840"/>
      <c r="V68" s="333"/>
    </row>
    <row r="69" spans="1:22" ht="9.6" customHeight="1">
      <c r="A69" s="997"/>
      <c r="C69" s="1855" t="s">
        <v>2878</v>
      </c>
      <c r="D69" s="1855"/>
      <c r="E69" s="1855"/>
      <c r="F69" s="1855"/>
      <c r="G69" s="1855"/>
      <c r="H69" s="1855"/>
      <c r="I69" s="1855"/>
      <c r="J69" s="1855"/>
      <c r="K69" s="1855"/>
      <c r="L69" s="1855"/>
      <c r="M69" s="393"/>
      <c r="N69" s="998"/>
      <c r="O69" s="1833" t="s">
        <v>520</v>
      </c>
      <c r="P69" s="1833"/>
      <c r="Q69" s="1833"/>
      <c r="R69" s="1833"/>
      <c r="S69" s="1833"/>
      <c r="T69" s="1833"/>
      <c r="U69" s="1833"/>
    </row>
    <row r="70" spans="1:22" ht="9.6" customHeight="1">
      <c r="A70" s="353" t="s">
        <v>518</v>
      </c>
      <c r="B70" s="315" t="s">
        <v>471</v>
      </c>
      <c r="C70" s="1852" t="s">
        <v>516</v>
      </c>
      <c r="D70" s="1852"/>
      <c r="E70" s="1852"/>
      <c r="F70" s="1852"/>
      <c r="G70" s="1852"/>
      <c r="H70" s="1852"/>
      <c r="I70" s="1852"/>
      <c r="J70" s="1852"/>
      <c r="K70" s="1852"/>
      <c r="L70" s="1852"/>
      <c r="M70" s="1852"/>
      <c r="O70" s="1858" t="s">
        <v>2641</v>
      </c>
      <c r="P70" s="1858"/>
      <c r="Q70" s="1858"/>
      <c r="R70" s="1858"/>
      <c r="S70" s="1858"/>
      <c r="T70" s="1858"/>
      <c r="U70" s="1858"/>
      <c r="V70" s="998"/>
    </row>
    <row r="71" spans="1:22" ht="9.6" customHeight="1">
      <c r="N71" s="998"/>
      <c r="O71" s="967" t="s">
        <v>522</v>
      </c>
      <c r="P71" s="967"/>
      <c r="Q71" s="967"/>
      <c r="R71" s="491" t="s">
        <v>521</v>
      </c>
      <c r="S71" s="491"/>
      <c r="T71" s="491"/>
      <c r="U71" s="491"/>
    </row>
    <row r="72" spans="1:22" ht="9.6" customHeight="1">
      <c r="A72" s="759"/>
      <c r="B72" s="759"/>
      <c r="C72" s="315"/>
      <c r="D72" s="315"/>
      <c r="E72" s="315"/>
      <c r="F72" s="957"/>
      <c r="G72" s="315"/>
      <c r="H72" s="315"/>
      <c r="I72" s="315"/>
      <c r="J72" s="42"/>
      <c r="K72" s="315"/>
      <c r="L72" s="315"/>
      <c r="M72" s="315"/>
      <c r="N72" s="353" t="s">
        <v>524</v>
      </c>
      <c r="O72" s="1852" t="s">
        <v>516</v>
      </c>
      <c r="P72" s="1852"/>
      <c r="Q72" s="1852"/>
      <c r="R72" s="1852"/>
      <c r="S72" s="1852"/>
      <c r="T72" s="1852"/>
      <c r="U72" s="1852"/>
    </row>
    <row r="73" spans="1:22" ht="11.1" customHeight="1">
      <c r="A73" s="759"/>
      <c r="B73" s="759"/>
      <c r="C73" s="315"/>
      <c r="D73" s="315"/>
      <c r="E73" s="315"/>
      <c r="F73" s="315"/>
      <c r="G73" s="315"/>
      <c r="H73" s="315"/>
      <c r="I73" s="315"/>
      <c r="J73" s="42"/>
      <c r="K73" s="315"/>
      <c r="L73" s="315"/>
      <c r="M73" s="315"/>
      <c r="Q73" s="315"/>
      <c r="R73" s="393"/>
      <c r="S73" s="393"/>
      <c r="T73" s="393"/>
      <c r="U73" s="809"/>
    </row>
    <row r="74" spans="1:22">
      <c r="A74" s="759"/>
      <c r="B74" s="759"/>
      <c r="C74" s="315"/>
      <c r="D74" s="315"/>
      <c r="E74" s="315"/>
      <c r="F74" s="315"/>
      <c r="G74" s="315"/>
      <c r="H74" s="315"/>
      <c r="I74" s="315"/>
      <c r="J74" s="42"/>
      <c r="K74" s="315"/>
      <c r="L74" s="315"/>
      <c r="M74" s="315"/>
      <c r="R74" s="393"/>
      <c r="S74" s="393"/>
      <c r="T74" s="315"/>
      <c r="U74" s="809"/>
    </row>
    <row r="75" spans="1:22">
      <c r="Q75" s="999"/>
      <c r="R75" s="393"/>
      <c r="S75" s="393"/>
      <c r="T75" s="315"/>
      <c r="U75" s="809"/>
    </row>
    <row r="76" spans="1:22">
      <c r="J76" s="317"/>
      <c r="U76" s="809"/>
    </row>
    <row r="77" spans="1:22">
      <c r="T77" s="333"/>
    </row>
  </sheetData>
  <mergeCells count="31">
    <mergeCell ref="A3:B7"/>
    <mergeCell ref="F4:F6"/>
    <mergeCell ref="G5:J5"/>
    <mergeCell ref="C3:F3"/>
    <mergeCell ref="G4:M4"/>
    <mergeCell ref="E4:E6"/>
    <mergeCell ref="K5:M5"/>
    <mergeCell ref="G3:M3"/>
    <mergeCell ref="O72:U72"/>
    <mergeCell ref="N5:N6"/>
    <mergeCell ref="O5:O6"/>
    <mergeCell ref="O69:U69"/>
    <mergeCell ref="C69:L69"/>
    <mergeCell ref="O68:U68"/>
    <mergeCell ref="U3:U7"/>
    <mergeCell ref="Q4:Q6"/>
    <mergeCell ref="P5:P6"/>
    <mergeCell ref="S3:S6"/>
    <mergeCell ref="C68:M68"/>
    <mergeCell ref="D4:D6"/>
    <mergeCell ref="C4:C6"/>
    <mergeCell ref="C70:M70"/>
    <mergeCell ref="O70:U70"/>
    <mergeCell ref="T1:U1"/>
    <mergeCell ref="N4:P4"/>
    <mergeCell ref="K1:M1"/>
    <mergeCell ref="N1:O1"/>
    <mergeCell ref="T3:T6"/>
    <mergeCell ref="T2:U2"/>
    <mergeCell ref="R3:R6"/>
    <mergeCell ref="N3:P3"/>
  </mergeCells>
  <phoneticPr fontId="0" type="noConversion"/>
  <conditionalFormatting sqref="O30:T31 C32:T33 A22:U22 C32:S35 T32:T36 C35:C36 D35:Q40 S35:T40 R35:R36 C37:T42 N8:O30 P8:T31 C8:M31 D35:T35 A8:A61 B8:B67 B43:T67 U8:U61">
    <cfRule type="expression" dxfId="10" priority="51" stopIfTrue="1">
      <formula>MOD(ROW(),2)=1</formula>
    </cfRule>
  </conditionalFormatting>
  <conditionalFormatting sqref="A35:A61">
    <cfRule type="expression" dxfId="9" priority="45" stopIfTrue="1">
      <formula>MOD(ROW(),2)=1</formula>
    </cfRule>
    <cfRule type="expression" priority="46" stopIfTrue="1">
      <formula>MOD(ROW(),2)=1</formula>
    </cfRule>
  </conditionalFormatting>
  <conditionalFormatting sqref="A36:A61">
    <cfRule type="expression" priority="42" stopIfTrue="1">
      <formula>MOD(row,0)=0</formula>
    </cfRule>
  </conditionalFormatting>
  <conditionalFormatting sqref="A39:A61">
    <cfRule type="expression" priority="37" stopIfTrue="1">
      <formula>MOD((((#REF!))),0)=0</formula>
    </cfRule>
  </conditionalFormatting>
  <conditionalFormatting sqref="U35">
    <cfRule type="expression" dxfId="8" priority="25" stopIfTrue="1">
      <formula>MOD(ROW(),2)=1</formula>
    </cfRule>
    <cfRule type="expression" priority="26" stopIfTrue="1">
      <formula>MOD(ROW(),2)=1</formula>
    </cfRule>
  </conditionalFormatting>
  <conditionalFormatting sqref="U47:U61">
    <cfRule type="expression" dxfId="7" priority="23" stopIfTrue="1">
      <formula>MOD(ROW(),2)=1</formula>
    </cfRule>
    <cfRule type="expression" priority="24" stopIfTrue="1">
      <formula>MOD(ROW(),2)=1</formula>
    </cfRule>
  </conditionalFormatting>
  <conditionalFormatting sqref="U47:U61">
    <cfRule type="expression" priority="22" stopIfTrue="1">
      <formula>MOD(row,0)=0</formula>
    </cfRule>
  </conditionalFormatting>
  <conditionalFormatting sqref="U47:U61">
    <cfRule type="expression" priority="21" stopIfTrue="1">
      <formula>MOD((((#REF!))),0)=0</formula>
    </cfRule>
  </conditionalFormatting>
  <conditionalFormatting sqref="U48:U61">
    <cfRule type="expression" dxfId="6" priority="19" stopIfTrue="1">
      <formula>MOD(ROW(),2)=1</formula>
    </cfRule>
    <cfRule type="expression" priority="20" stopIfTrue="1">
      <formula>MOD(ROW(),2)=1</formula>
    </cfRule>
  </conditionalFormatting>
  <conditionalFormatting sqref="U48:U61">
    <cfRule type="expression" priority="18" stopIfTrue="1">
      <formula>MOD(row,0)=0</formula>
    </cfRule>
  </conditionalFormatting>
  <conditionalFormatting sqref="U48:U61">
    <cfRule type="expression" priority="17" stopIfTrue="1">
      <formula>MOD((((#REF!))),0)=0</formula>
    </cfRule>
  </conditionalFormatting>
  <conditionalFormatting sqref="U56:U61">
    <cfRule type="expression" dxfId="5" priority="15" stopIfTrue="1">
      <formula>MOD(ROW(),2)=1</formula>
    </cfRule>
    <cfRule type="expression" priority="16" stopIfTrue="1">
      <formula>MOD(ROW(),2)=1</formula>
    </cfRule>
  </conditionalFormatting>
  <conditionalFormatting sqref="U56:U61">
    <cfRule type="expression" priority="14" stopIfTrue="1">
      <formula>MOD(row,0)=0</formula>
    </cfRule>
  </conditionalFormatting>
  <conditionalFormatting sqref="U56:U61">
    <cfRule type="expression" priority="13" stopIfTrue="1">
      <formula>MOD((((#REF!))),0)=0</formula>
    </cfRule>
  </conditionalFormatting>
  <conditionalFormatting sqref="U60:U61">
    <cfRule type="expression" dxfId="4" priority="11" stopIfTrue="1">
      <formula>MOD(ROW(),2)=1</formula>
    </cfRule>
    <cfRule type="expression" priority="12" stopIfTrue="1">
      <formula>MOD(ROW(),2)=1</formula>
    </cfRule>
  </conditionalFormatting>
  <conditionalFormatting sqref="U60:U61">
    <cfRule type="expression" priority="10" stopIfTrue="1">
      <formula>MOD(row,0)=0</formula>
    </cfRule>
  </conditionalFormatting>
  <conditionalFormatting sqref="U60:U61">
    <cfRule type="expression" priority="9" stopIfTrue="1">
      <formula>MOD((((#REF!))),0)=0</formula>
    </cfRule>
  </conditionalFormatting>
  <conditionalFormatting sqref="U61">
    <cfRule type="expression" dxfId="3" priority="7" stopIfTrue="1">
      <formula>MOD(ROW(),2)=1</formula>
    </cfRule>
    <cfRule type="expression" priority="8" stopIfTrue="1">
      <formula>MOD(ROW(),2)=1</formula>
    </cfRule>
  </conditionalFormatting>
  <conditionalFormatting sqref="U61">
    <cfRule type="expression" priority="6" stopIfTrue="1">
      <formula>MOD(row,0)=0</formula>
    </cfRule>
  </conditionalFormatting>
  <conditionalFormatting sqref="U61">
    <cfRule type="expression" priority="5" stopIfTrue="1">
      <formula>MOD((((#REF!))),0)=0</formula>
    </cfRule>
  </conditionalFormatting>
  <pageMargins left="0.55118110236220497" right="0.47244094488188998" top="0.511811023622047" bottom="0.511811023622047" header="0" footer="0.39370078740157499"/>
  <pageSetup paperSize="512" firstPageNumber="18" orientation="portrait" useFirstPageNumber="1" r:id="rId1"/>
  <headerFooter alignWithMargins="0">
    <oddFooter>&amp;C&amp;"Times New Roman,Regular"&amp;8&amp;P</oddFooter>
  </headerFooter>
  <ignoredErrors>
    <ignoredError sqref="J22 L22:T22 F22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>
  <dimension ref="A1:N63"/>
  <sheetViews>
    <sheetView zoomScale="120" zoomScaleNormal="120" workbookViewId="0">
      <pane xSplit="2" ySplit="5" topLeftCell="C45" activePane="bottomRight" state="frozen"/>
      <selection pane="topRight" activeCell="C1" sqref="C1"/>
      <selection pane="bottomLeft" activeCell="A6" sqref="A6"/>
      <selection pane="bottomRight" activeCell="C17" sqref="C17"/>
    </sheetView>
  </sheetViews>
  <sheetFormatPr defaultColWidth="9.140625" defaultRowHeight="12.75"/>
  <cols>
    <col min="1" max="1" width="8.85546875" style="811" customWidth="1"/>
    <col min="2" max="2" width="2" style="811" customWidth="1"/>
    <col min="3" max="3" width="12.85546875" style="811" customWidth="1"/>
    <col min="4" max="4" width="13.5703125" style="811" customWidth="1"/>
    <col min="5" max="5" width="13" style="811" customWidth="1"/>
    <col min="6" max="6" width="14" style="811" customWidth="1"/>
    <col min="7" max="7" width="14.140625" style="811" customWidth="1"/>
    <col min="8" max="8" width="15.28515625" style="811" customWidth="1"/>
    <col min="9" max="9" width="14.85546875" style="811" customWidth="1"/>
    <col min="10" max="10" width="15.85546875" style="811" customWidth="1"/>
    <col min="11" max="11" width="16" style="811" customWidth="1"/>
    <col min="12" max="12" width="15.28515625" style="811" customWidth="1"/>
    <col min="13" max="16384" width="9.140625" style="811"/>
  </cols>
  <sheetData>
    <row r="1" spans="1:14" s="320" customFormat="1" ht="15.75">
      <c r="C1" s="1000"/>
      <c r="D1" s="1000"/>
      <c r="E1" s="1819" t="s">
        <v>1724</v>
      </c>
      <c r="F1" s="1819"/>
      <c r="G1" s="1819"/>
      <c r="H1" s="1825" t="s">
        <v>1061</v>
      </c>
      <c r="I1" s="1825"/>
      <c r="J1" s="1825"/>
      <c r="K1" s="1000"/>
      <c r="L1" s="971" t="s">
        <v>528</v>
      </c>
    </row>
    <row r="2" spans="1:14" s="323" customFormat="1" ht="12">
      <c r="G2" s="863"/>
      <c r="L2" s="863" t="s">
        <v>42</v>
      </c>
    </row>
    <row r="3" spans="1:14" s="323" customFormat="1" ht="15.75" customHeight="1">
      <c r="A3" s="1827" t="s">
        <v>2025</v>
      </c>
      <c r="B3" s="1828"/>
      <c r="C3" s="1700" t="s">
        <v>1135</v>
      </c>
      <c r="D3" s="1700" t="s">
        <v>2728</v>
      </c>
      <c r="E3" s="1772" t="s">
        <v>1784</v>
      </c>
      <c r="F3" s="1773"/>
      <c r="G3" s="1774"/>
      <c r="H3" s="1772" t="s">
        <v>410</v>
      </c>
      <c r="I3" s="1773"/>
      <c r="J3" s="1774"/>
      <c r="K3" s="1700" t="s">
        <v>1662</v>
      </c>
      <c r="L3" s="1700" t="s">
        <v>1918</v>
      </c>
    </row>
    <row r="4" spans="1:14" s="323" customFormat="1" ht="15" customHeight="1">
      <c r="A4" s="1829"/>
      <c r="B4" s="1830"/>
      <c r="C4" s="1701"/>
      <c r="D4" s="1701"/>
      <c r="E4" s="1591" t="s">
        <v>1009</v>
      </c>
      <c r="F4" s="1591" t="s">
        <v>1129</v>
      </c>
      <c r="G4" s="1590" t="s">
        <v>1012</v>
      </c>
      <c r="H4" s="1591" t="s">
        <v>1009</v>
      </c>
      <c r="I4" s="1591" t="s">
        <v>1129</v>
      </c>
      <c r="J4" s="1590" t="s">
        <v>1128</v>
      </c>
      <c r="K4" s="1701"/>
      <c r="L4" s="1701"/>
    </row>
    <row r="5" spans="1:14" s="1002" customFormat="1" ht="11.25" customHeight="1">
      <c r="A5" s="1831"/>
      <c r="B5" s="1832"/>
      <c r="C5" s="646">
        <v>1</v>
      </c>
      <c r="D5" s="646">
        <v>2</v>
      </c>
      <c r="E5" s="1001">
        <v>3</v>
      </c>
      <c r="F5" s="977">
        <v>4</v>
      </c>
      <c r="G5" s="1001" t="s">
        <v>529</v>
      </c>
      <c r="H5" s="646">
        <v>6</v>
      </c>
      <c r="I5" s="646">
        <v>7</v>
      </c>
      <c r="J5" s="646" t="s">
        <v>533</v>
      </c>
      <c r="K5" s="977">
        <v>9</v>
      </c>
      <c r="L5" s="977" t="s">
        <v>530</v>
      </c>
    </row>
    <row r="6" spans="1:14" ht="12" hidden="1" customHeight="1">
      <c r="A6" s="257" t="s">
        <v>1204</v>
      </c>
      <c r="B6" s="257"/>
      <c r="C6" s="88">
        <v>55868.899999999994</v>
      </c>
      <c r="D6" s="88">
        <v>73.599999999999994</v>
      </c>
      <c r="E6" s="88">
        <v>1976.33</v>
      </c>
      <c r="F6" s="88">
        <v>1936.03</v>
      </c>
      <c r="G6" s="88">
        <f t="shared" ref="G6:G13" si="0">E6+F6</f>
        <v>3912.3599999999997</v>
      </c>
      <c r="H6" s="88">
        <v>6906.73</v>
      </c>
      <c r="I6" s="88">
        <v>65627.22</v>
      </c>
      <c r="J6" s="88">
        <f t="shared" ref="J6:J13" si="1">H6+I6</f>
        <v>72533.95</v>
      </c>
      <c r="K6" s="88">
        <v>31530.54</v>
      </c>
      <c r="L6" s="88">
        <f t="shared" ref="L6:L13" si="2">C6+D6+G6+J6+K6</f>
        <v>163919.35</v>
      </c>
    </row>
    <row r="7" spans="1:14" ht="9.75" hidden="1" customHeight="1">
      <c r="A7" s="257" t="s">
        <v>1205</v>
      </c>
      <c r="B7" s="257"/>
      <c r="C7" s="88">
        <v>62086.18</v>
      </c>
      <c r="D7" s="88">
        <v>51.27</v>
      </c>
      <c r="E7" s="88">
        <v>2419.9699999999998</v>
      </c>
      <c r="F7" s="88">
        <v>1287.3599999999999</v>
      </c>
      <c r="G7" s="88">
        <f t="shared" si="0"/>
        <v>3707.33</v>
      </c>
      <c r="H7" s="88">
        <v>8709.85</v>
      </c>
      <c r="I7" s="88">
        <v>80416.11</v>
      </c>
      <c r="J7" s="88">
        <f t="shared" si="1"/>
        <v>89125.96</v>
      </c>
      <c r="K7" s="88">
        <v>35238.61</v>
      </c>
      <c r="L7" s="88">
        <f t="shared" si="2"/>
        <v>190209.34999999998</v>
      </c>
    </row>
    <row r="8" spans="1:14" ht="11.25" hidden="1" customHeight="1">
      <c r="A8" s="257" t="s">
        <v>1210</v>
      </c>
      <c r="B8" s="257"/>
      <c r="C8" s="846">
        <v>71006.2</v>
      </c>
      <c r="D8" s="88">
        <v>36.17</v>
      </c>
      <c r="E8" s="846">
        <v>1706.3</v>
      </c>
      <c r="F8" s="88">
        <v>708.52</v>
      </c>
      <c r="G8" s="88">
        <f t="shared" si="0"/>
        <v>2414.8199999999997</v>
      </c>
      <c r="H8" s="846">
        <v>12767.1</v>
      </c>
      <c r="I8" s="88">
        <v>98942.17</v>
      </c>
      <c r="J8" s="88">
        <f t="shared" si="1"/>
        <v>111709.27</v>
      </c>
      <c r="K8" s="88">
        <v>39093.800000000003</v>
      </c>
      <c r="L8" s="88">
        <f t="shared" si="2"/>
        <v>224260.26</v>
      </c>
      <c r="N8" s="1003"/>
    </row>
    <row r="9" spans="1:14" ht="11.25" customHeight="1">
      <c r="A9" s="257" t="s">
        <v>1219</v>
      </c>
      <c r="B9" s="257"/>
      <c r="C9" s="846">
        <v>79578.600000000006</v>
      </c>
      <c r="D9" s="88">
        <v>22.21</v>
      </c>
      <c r="E9" s="846">
        <v>1727.7</v>
      </c>
      <c r="F9" s="88">
        <v>737.35</v>
      </c>
      <c r="G9" s="88">
        <f t="shared" si="0"/>
        <v>2465.0500000000002</v>
      </c>
      <c r="H9" s="846">
        <v>14051</v>
      </c>
      <c r="I9" s="88">
        <v>116916.81</v>
      </c>
      <c r="J9" s="88">
        <f t="shared" si="1"/>
        <v>130967.81</v>
      </c>
      <c r="K9" s="88">
        <v>42629.83</v>
      </c>
      <c r="L9" s="88">
        <f t="shared" si="2"/>
        <v>255663.5</v>
      </c>
      <c r="N9" s="1003"/>
    </row>
    <row r="10" spans="1:14" ht="12" customHeight="1">
      <c r="A10" s="257" t="s">
        <v>916</v>
      </c>
      <c r="B10" s="257"/>
      <c r="C10" s="846">
        <v>92944.2</v>
      </c>
      <c r="D10" s="88">
        <v>18.88</v>
      </c>
      <c r="E10" s="846">
        <v>1580</v>
      </c>
      <c r="F10" s="88">
        <v>445.66</v>
      </c>
      <c r="G10" s="88">
        <f t="shared" si="0"/>
        <v>2025.66</v>
      </c>
      <c r="H10" s="846">
        <v>8542</v>
      </c>
      <c r="I10" s="88">
        <v>149683.78</v>
      </c>
      <c r="J10" s="88">
        <f t="shared" si="1"/>
        <v>158225.78</v>
      </c>
      <c r="K10" s="88">
        <v>49112.2</v>
      </c>
      <c r="L10" s="88">
        <f t="shared" si="2"/>
        <v>302326.72000000003</v>
      </c>
      <c r="N10" s="1003"/>
    </row>
    <row r="11" spans="1:14" ht="9.75" customHeight="1">
      <c r="A11" s="257" t="s">
        <v>230</v>
      </c>
      <c r="B11" s="257"/>
      <c r="C11" s="846">
        <v>107829.2</v>
      </c>
      <c r="D11" s="88">
        <v>15.42</v>
      </c>
      <c r="E11" s="846">
        <v>2050.9</v>
      </c>
      <c r="F11" s="88">
        <v>871.8</v>
      </c>
      <c r="G11" s="88">
        <f t="shared" si="0"/>
        <v>2922.7</v>
      </c>
      <c r="H11" s="846">
        <v>8889.1</v>
      </c>
      <c r="I11" s="88">
        <v>175104.43</v>
      </c>
      <c r="J11" s="88">
        <f t="shared" si="1"/>
        <v>183993.53</v>
      </c>
      <c r="K11" s="88">
        <v>53138.5</v>
      </c>
      <c r="L11" s="88">
        <f t="shared" si="2"/>
        <v>347899.35</v>
      </c>
      <c r="N11" s="1003"/>
    </row>
    <row r="12" spans="1:14" ht="10.5" customHeight="1">
      <c r="A12" s="257" t="s">
        <v>220</v>
      </c>
      <c r="B12" s="257"/>
      <c r="C12" s="846">
        <v>115781.9</v>
      </c>
      <c r="D12" s="88">
        <v>12.31</v>
      </c>
      <c r="E12" s="846">
        <v>1762.9</v>
      </c>
      <c r="F12" s="88">
        <v>855.33</v>
      </c>
      <c r="G12" s="88">
        <f t="shared" si="0"/>
        <v>2618.23</v>
      </c>
      <c r="H12" s="846">
        <v>11081.4</v>
      </c>
      <c r="I12" s="88">
        <v>215758.99</v>
      </c>
      <c r="J12" s="88">
        <f t="shared" si="1"/>
        <v>226840.38999999998</v>
      </c>
      <c r="K12" s="88">
        <v>68779.06</v>
      </c>
      <c r="L12" s="88">
        <f t="shared" si="2"/>
        <v>414031.88999999996</v>
      </c>
      <c r="N12" s="1003"/>
    </row>
    <row r="13" spans="1:14" ht="10.5" customHeight="1">
      <c r="A13" s="257" t="s">
        <v>489</v>
      </c>
      <c r="B13" s="257"/>
      <c r="C13" s="846">
        <v>137011.5</v>
      </c>
      <c r="D13" s="88">
        <v>9.4</v>
      </c>
      <c r="E13" s="846">
        <v>2162.1</v>
      </c>
      <c r="F13" s="88">
        <v>2320.9</v>
      </c>
      <c r="G13" s="88">
        <f t="shared" si="0"/>
        <v>4483</v>
      </c>
      <c r="H13" s="846">
        <v>14837.8</v>
      </c>
      <c r="I13" s="88">
        <v>273618.90000000002</v>
      </c>
      <c r="J13" s="88">
        <f t="shared" si="1"/>
        <v>288456.7</v>
      </c>
      <c r="K13" s="88">
        <v>83570.100000000006</v>
      </c>
      <c r="L13" s="88">
        <f t="shared" si="2"/>
        <v>513530.69999999995</v>
      </c>
      <c r="N13" s="1003"/>
    </row>
    <row r="14" spans="1:14" ht="10.5" customHeight="1">
      <c r="A14" s="257" t="s">
        <v>1580</v>
      </c>
      <c r="B14" s="257"/>
      <c r="C14" s="846">
        <v>155823.70000000001</v>
      </c>
      <c r="D14" s="88">
        <v>5.8</v>
      </c>
      <c r="E14" s="846">
        <v>2533.9</v>
      </c>
      <c r="F14" s="88">
        <v>3231.1</v>
      </c>
      <c r="G14" s="88">
        <v>5765</v>
      </c>
      <c r="H14" s="846">
        <v>12790.5</v>
      </c>
      <c r="I14" s="88">
        <v>334233.59999999998</v>
      </c>
      <c r="J14" s="88">
        <v>347024.1</v>
      </c>
      <c r="K14" s="88">
        <v>92021.6</v>
      </c>
      <c r="L14" s="88">
        <v>600640.19999999995</v>
      </c>
      <c r="N14" s="1003"/>
    </row>
    <row r="15" spans="1:14" s="683" customFormat="1" ht="10.5" customHeight="1">
      <c r="A15" s="743" t="s">
        <v>1809</v>
      </c>
      <c r="B15" s="743"/>
      <c r="C15" s="846">
        <v>174978.3</v>
      </c>
      <c r="D15" s="433">
        <v>2.2999999999999998</v>
      </c>
      <c r="E15" s="846">
        <v>3450</v>
      </c>
      <c r="F15" s="433">
        <v>5171.6000000000004</v>
      </c>
      <c r="G15" s="433">
        <v>8621.6</v>
      </c>
      <c r="H15" s="846">
        <v>5968.1</v>
      </c>
      <c r="I15" s="433">
        <v>371817.6</v>
      </c>
      <c r="J15" s="88">
        <v>377785.69999999995</v>
      </c>
      <c r="K15" s="433">
        <v>100452.9</v>
      </c>
      <c r="L15" s="88">
        <v>661840.79999999993</v>
      </c>
      <c r="N15" s="1003"/>
    </row>
    <row r="16" spans="1:14" s="678" customFormat="1" ht="12" customHeight="1">
      <c r="A16" s="933" t="s">
        <v>2226</v>
      </c>
      <c r="B16" s="482"/>
      <c r="C16" s="1007">
        <f t="shared" ref="C16:L16" si="3">C28</f>
        <v>194106.4</v>
      </c>
      <c r="D16" s="1007">
        <f t="shared" si="3"/>
        <v>0</v>
      </c>
      <c r="E16" s="1007">
        <f t="shared" si="3"/>
        <v>5184.7</v>
      </c>
      <c r="F16" s="1007">
        <f t="shared" si="3"/>
        <v>5839.1</v>
      </c>
      <c r="G16" s="1007">
        <f t="shared" si="3"/>
        <v>11023.8</v>
      </c>
      <c r="H16" s="1007">
        <f t="shared" si="3"/>
        <v>7468.8</v>
      </c>
      <c r="I16" s="1007">
        <f t="shared" si="3"/>
        <v>419702.1</v>
      </c>
      <c r="J16" s="1007">
        <f t="shared" si="3"/>
        <v>427170.89999999997</v>
      </c>
      <c r="K16" s="1007">
        <f t="shared" si="3"/>
        <v>112230.3</v>
      </c>
      <c r="L16" s="1007">
        <f t="shared" si="3"/>
        <v>744531.4</v>
      </c>
      <c r="M16" s="683"/>
      <c r="N16" s="1003"/>
    </row>
    <row r="17" spans="1:14" s="678" customFormat="1" ht="9.75" customHeight="1">
      <c r="A17" s="743" t="s">
        <v>1211</v>
      </c>
      <c r="B17" s="482"/>
      <c r="C17" s="846">
        <v>180201.8</v>
      </c>
      <c r="D17" s="978">
        <v>2</v>
      </c>
      <c r="E17" s="846">
        <v>3659.5</v>
      </c>
      <c r="F17" s="947">
        <v>5124.3999999999996</v>
      </c>
      <c r="G17" s="433">
        <f t="shared" ref="G17:G23" si="4">E17+F17</f>
        <v>8783.9</v>
      </c>
      <c r="H17" s="846">
        <v>6669.4</v>
      </c>
      <c r="I17" s="947">
        <v>375961.4</v>
      </c>
      <c r="J17" s="88">
        <f t="shared" ref="J17:J41" si="5">H17+I17</f>
        <v>382630.80000000005</v>
      </c>
      <c r="K17" s="947">
        <v>101025.8</v>
      </c>
      <c r="L17" s="88">
        <f t="shared" ref="L17:L41" si="6">C17+D17+G17+J17+K17</f>
        <v>672644.3</v>
      </c>
      <c r="M17" s="683"/>
      <c r="N17" s="1003"/>
    </row>
    <row r="18" spans="1:14" s="678" customFormat="1" ht="9.75" customHeight="1">
      <c r="A18" s="743" t="s">
        <v>1212</v>
      </c>
      <c r="B18" s="482"/>
      <c r="C18" s="846">
        <v>176466.4</v>
      </c>
      <c r="D18" s="857">
        <v>1.8</v>
      </c>
      <c r="E18" s="846">
        <v>3665</v>
      </c>
      <c r="F18" s="857">
        <v>5147.6000000000004</v>
      </c>
      <c r="G18" s="433">
        <f t="shared" si="4"/>
        <v>8812.6</v>
      </c>
      <c r="H18" s="846">
        <v>6580.9</v>
      </c>
      <c r="I18" s="857">
        <v>379800.9</v>
      </c>
      <c r="J18" s="88">
        <f t="shared" si="5"/>
        <v>386381.80000000005</v>
      </c>
      <c r="K18" s="857">
        <v>101317.3</v>
      </c>
      <c r="L18" s="88">
        <f t="shared" si="6"/>
        <v>672979.90000000014</v>
      </c>
      <c r="M18" s="683"/>
      <c r="N18" s="1003"/>
    </row>
    <row r="19" spans="1:14" s="678" customFormat="1" ht="10.5" customHeight="1">
      <c r="A19" s="743" t="s">
        <v>1206</v>
      </c>
      <c r="B19" s="482"/>
      <c r="C19" s="846">
        <v>176875.7</v>
      </c>
      <c r="D19" s="857">
        <v>1.8</v>
      </c>
      <c r="E19" s="846">
        <v>3872.6</v>
      </c>
      <c r="F19" s="852">
        <v>5291</v>
      </c>
      <c r="G19" s="857">
        <f t="shared" si="4"/>
        <v>9163.6</v>
      </c>
      <c r="H19" s="846">
        <v>6638.2</v>
      </c>
      <c r="I19" s="857">
        <v>384161.2</v>
      </c>
      <c r="J19" s="88">
        <f t="shared" si="5"/>
        <v>390799.4</v>
      </c>
      <c r="K19" s="857">
        <v>102554.6</v>
      </c>
      <c r="L19" s="88">
        <f t="shared" si="6"/>
        <v>679395.1</v>
      </c>
      <c r="N19" s="1003"/>
    </row>
    <row r="20" spans="1:14" s="678" customFormat="1" ht="10.5" customHeight="1">
      <c r="A20" s="743" t="s">
        <v>1213</v>
      </c>
      <c r="B20" s="482"/>
      <c r="C20" s="846">
        <v>182134.5</v>
      </c>
      <c r="D20" s="852">
        <v>1.2</v>
      </c>
      <c r="E20" s="846">
        <v>3977.9</v>
      </c>
      <c r="F20" s="852">
        <v>5607.5</v>
      </c>
      <c r="G20" s="857">
        <f t="shared" si="4"/>
        <v>9585.4</v>
      </c>
      <c r="H20" s="846">
        <v>6845.2</v>
      </c>
      <c r="I20" s="852">
        <v>386424.5</v>
      </c>
      <c r="J20" s="88">
        <f t="shared" si="5"/>
        <v>393269.7</v>
      </c>
      <c r="K20" s="852">
        <v>102984.5</v>
      </c>
      <c r="L20" s="88">
        <f t="shared" si="6"/>
        <v>687975.3</v>
      </c>
      <c r="N20" s="1003"/>
    </row>
    <row r="21" spans="1:14" s="678" customFormat="1" ht="10.5" customHeight="1">
      <c r="A21" s="743" t="s">
        <v>1214</v>
      </c>
      <c r="B21" s="482"/>
      <c r="C21" s="846">
        <v>182154.7</v>
      </c>
      <c r="D21" s="852">
        <v>0.9</v>
      </c>
      <c r="E21" s="846">
        <v>4254.8999999999996</v>
      </c>
      <c r="F21" s="852">
        <v>5521.8</v>
      </c>
      <c r="G21" s="857">
        <f t="shared" si="4"/>
        <v>9776.7000000000007</v>
      </c>
      <c r="H21" s="846">
        <v>6838.9</v>
      </c>
      <c r="I21" s="852">
        <v>389353.6</v>
      </c>
      <c r="J21" s="88">
        <f t="shared" si="5"/>
        <v>396192.5</v>
      </c>
      <c r="K21" s="852">
        <v>103423</v>
      </c>
      <c r="L21" s="88">
        <f t="shared" si="6"/>
        <v>691547.8</v>
      </c>
      <c r="N21" s="1003"/>
    </row>
    <row r="22" spans="1:14" s="678" customFormat="1" ht="9.75" customHeight="1">
      <c r="A22" s="743" t="s">
        <v>1207</v>
      </c>
      <c r="B22" s="482"/>
      <c r="C22" s="482">
        <v>183557.8</v>
      </c>
      <c r="D22" s="482">
        <v>0.9</v>
      </c>
      <c r="E22" s="482">
        <v>4455.2</v>
      </c>
      <c r="F22" s="482">
        <v>5625.2</v>
      </c>
      <c r="G22" s="857">
        <f t="shared" si="4"/>
        <v>10080.4</v>
      </c>
      <c r="H22" s="433">
        <v>7772</v>
      </c>
      <c r="I22" s="482">
        <v>395593.3</v>
      </c>
      <c r="J22" s="88">
        <f t="shared" si="5"/>
        <v>403365.3</v>
      </c>
      <c r="K22" s="433">
        <v>105410</v>
      </c>
      <c r="L22" s="88">
        <f t="shared" si="6"/>
        <v>702414.39999999991</v>
      </c>
      <c r="N22" s="1012"/>
    </row>
    <row r="23" spans="1:14" s="678" customFormat="1" ht="10.5" customHeight="1">
      <c r="A23" s="743" t="s">
        <v>1215</v>
      </c>
      <c r="B23" s="482"/>
      <c r="C23" s="530">
        <v>184742.1</v>
      </c>
      <c r="D23" s="530">
        <v>0.4</v>
      </c>
      <c r="E23" s="530">
        <v>4714.3999999999996</v>
      </c>
      <c r="F23" s="521">
        <v>5732.2</v>
      </c>
      <c r="G23" s="857">
        <f t="shared" si="4"/>
        <v>10446.599999999999</v>
      </c>
      <c r="H23" s="530">
        <v>7639.5</v>
      </c>
      <c r="I23" s="521">
        <v>394622</v>
      </c>
      <c r="J23" s="88">
        <f t="shared" si="5"/>
        <v>402261.5</v>
      </c>
      <c r="K23" s="521">
        <v>105355</v>
      </c>
      <c r="L23" s="88">
        <f t="shared" si="6"/>
        <v>702805.6</v>
      </c>
      <c r="N23" s="1003"/>
    </row>
    <row r="24" spans="1:14" s="678" customFormat="1" ht="9.75" customHeight="1">
      <c r="A24" s="743" t="s">
        <v>1216</v>
      </c>
      <c r="B24" s="482"/>
      <c r="C24" s="482">
        <v>187079.8</v>
      </c>
      <c r="D24" s="482">
        <v>0.2</v>
      </c>
      <c r="E24" s="482">
        <v>4730.3</v>
      </c>
      <c r="F24" s="433">
        <v>5745.5</v>
      </c>
      <c r="G24" s="852">
        <f>E24+F24</f>
        <v>10475.799999999999</v>
      </c>
      <c r="H24" s="482">
        <v>7841.2</v>
      </c>
      <c r="I24" s="482">
        <v>395547.5</v>
      </c>
      <c r="J24" s="88">
        <f t="shared" si="5"/>
        <v>403388.7</v>
      </c>
      <c r="K24" s="482">
        <v>106611.7</v>
      </c>
      <c r="L24" s="88">
        <f t="shared" si="6"/>
        <v>707556.2</v>
      </c>
      <c r="N24" s="1012"/>
    </row>
    <row r="25" spans="1:14" s="678" customFormat="1" ht="9.75" customHeight="1">
      <c r="A25" s="757" t="s">
        <v>1208</v>
      </c>
      <c r="B25" s="530"/>
      <c r="C25" s="530">
        <v>186271.7</v>
      </c>
      <c r="D25" s="521">
        <v>0</v>
      </c>
      <c r="E25" s="530">
        <v>4810.7</v>
      </c>
      <c r="F25" s="521">
        <v>5929</v>
      </c>
      <c r="G25" s="845">
        <f>E25+F25</f>
        <v>10739.7</v>
      </c>
      <c r="H25" s="530">
        <v>8413.9</v>
      </c>
      <c r="I25" s="530">
        <v>399931.9</v>
      </c>
      <c r="J25" s="528">
        <f t="shared" si="5"/>
        <v>408345.80000000005</v>
      </c>
      <c r="K25" s="530">
        <v>108979.5</v>
      </c>
      <c r="L25" s="528">
        <f t="shared" si="6"/>
        <v>714336.70000000007</v>
      </c>
      <c r="N25" s="1003"/>
    </row>
    <row r="26" spans="1:14" s="678" customFormat="1" ht="10.5" customHeight="1">
      <c r="A26" s="743" t="s">
        <v>1217</v>
      </c>
      <c r="B26" s="482"/>
      <c r="C26" s="482">
        <v>186696.3</v>
      </c>
      <c r="D26" s="433">
        <v>0</v>
      </c>
      <c r="E26" s="433">
        <v>4934</v>
      </c>
      <c r="F26" s="482">
        <v>6173.2</v>
      </c>
      <c r="G26" s="482">
        <f>E26+F26</f>
        <v>11107.2</v>
      </c>
      <c r="H26" s="482">
        <v>8184.3</v>
      </c>
      <c r="I26" s="482">
        <v>405809.1</v>
      </c>
      <c r="J26" s="482">
        <f t="shared" si="5"/>
        <v>413993.39999999997</v>
      </c>
      <c r="K26" s="482">
        <v>109104.5</v>
      </c>
      <c r="L26" s="433">
        <f t="shared" si="6"/>
        <v>720901.39999999991</v>
      </c>
      <c r="N26" s="1012"/>
    </row>
    <row r="27" spans="1:14" s="678" customFormat="1" ht="10.5" customHeight="1">
      <c r="A27" s="757" t="s">
        <v>1218</v>
      </c>
      <c r="B27" s="530"/>
      <c r="C27" s="845">
        <v>186765.6</v>
      </c>
      <c r="D27" s="845">
        <v>0</v>
      </c>
      <c r="E27" s="845">
        <v>5082.8999999999996</v>
      </c>
      <c r="F27" s="845">
        <v>5793.5</v>
      </c>
      <c r="G27" s="530">
        <f>E27+F27</f>
        <v>10876.4</v>
      </c>
      <c r="H27" s="845">
        <v>8737.6</v>
      </c>
      <c r="I27" s="845">
        <v>408220.5</v>
      </c>
      <c r="J27" s="530">
        <f t="shared" si="5"/>
        <v>416958.1</v>
      </c>
      <c r="K27" s="845">
        <v>110174</v>
      </c>
      <c r="L27" s="521">
        <f t="shared" si="6"/>
        <v>724774.1</v>
      </c>
      <c r="N27" s="1012"/>
    </row>
    <row r="28" spans="1:14" s="678" customFormat="1" ht="10.5" customHeight="1">
      <c r="A28" s="743" t="s">
        <v>1209</v>
      </c>
      <c r="B28" s="482"/>
      <c r="C28" s="482">
        <v>194106.4</v>
      </c>
      <c r="D28" s="433">
        <v>0</v>
      </c>
      <c r="E28" s="433">
        <v>5184.7</v>
      </c>
      <c r="F28" s="482">
        <v>5839.1</v>
      </c>
      <c r="G28" s="482">
        <f>E28+F28</f>
        <v>11023.8</v>
      </c>
      <c r="H28" s="482">
        <v>7468.8</v>
      </c>
      <c r="I28" s="482">
        <v>419702.1</v>
      </c>
      <c r="J28" s="482">
        <f t="shared" si="5"/>
        <v>427170.89999999997</v>
      </c>
      <c r="K28" s="482">
        <v>112230.3</v>
      </c>
      <c r="L28" s="433">
        <f t="shared" si="6"/>
        <v>744531.4</v>
      </c>
      <c r="N28" s="1012"/>
    </row>
    <row r="29" spans="1:14" s="805" customFormat="1" ht="11.25" customHeight="1">
      <c r="A29" s="1048" t="s">
        <v>2376</v>
      </c>
      <c r="B29" s="1029"/>
      <c r="C29" s="1068">
        <f>C41</f>
        <v>215482.2</v>
      </c>
      <c r="D29" s="1068">
        <f t="shared" ref="D29:L29" si="7">D41</f>
        <v>0</v>
      </c>
      <c r="E29" s="1068">
        <f t="shared" si="7"/>
        <v>5215.7</v>
      </c>
      <c r="F29" s="1068">
        <f t="shared" si="7"/>
        <v>7348.3</v>
      </c>
      <c r="G29" s="1068">
        <f t="shared" si="7"/>
        <v>12564</v>
      </c>
      <c r="H29" s="1068">
        <f t="shared" si="7"/>
        <v>11313.3</v>
      </c>
      <c r="I29" s="1068">
        <f t="shared" si="7"/>
        <v>475125.2</v>
      </c>
      <c r="J29" s="1068">
        <f t="shared" si="7"/>
        <v>486438.5</v>
      </c>
      <c r="K29" s="1068">
        <f t="shared" si="7"/>
        <v>124669.9</v>
      </c>
      <c r="L29" s="1068">
        <f t="shared" si="7"/>
        <v>839154.6</v>
      </c>
      <c r="N29" s="1106"/>
    </row>
    <row r="30" spans="1:14" s="678" customFormat="1" ht="10.5" customHeight="1">
      <c r="A30" s="743" t="s">
        <v>1211</v>
      </c>
      <c r="B30" s="482"/>
      <c r="C30" s="1075">
        <v>203105.4</v>
      </c>
      <c r="D30" s="433">
        <v>0</v>
      </c>
      <c r="E30" s="433">
        <v>5196.7</v>
      </c>
      <c r="F30" s="482">
        <v>6054.3</v>
      </c>
      <c r="G30" s="433">
        <f t="shared" ref="G30:G41" si="8">E30+F30</f>
        <v>11251</v>
      </c>
      <c r="H30" s="482">
        <v>7981.5</v>
      </c>
      <c r="I30" s="482">
        <v>419016.8</v>
      </c>
      <c r="J30" s="482">
        <f t="shared" si="5"/>
        <v>426998.3</v>
      </c>
      <c r="K30" s="482">
        <v>112988.4</v>
      </c>
      <c r="L30" s="433">
        <f t="shared" si="6"/>
        <v>754343.1</v>
      </c>
      <c r="N30" s="1012"/>
    </row>
    <row r="31" spans="1:14" s="678" customFormat="1" ht="11.25" customHeight="1">
      <c r="A31" s="757" t="s">
        <v>1212</v>
      </c>
      <c r="B31" s="530"/>
      <c r="C31" s="845">
        <v>200535.4</v>
      </c>
      <c r="D31" s="845">
        <v>0</v>
      </c>
      <c r="E31" s="845">
        <v>5388.7</v>
      </c>
      <c r="F31" s="845">
        <v>5960.9</v>
      </c>
      <c r="G31" s="530">
        <f t="shared" si="8"/>
        <v>11349.599999999999</v>
      </c>
      <c r="H31" s="845">
        <v>9076.6</v>
      </c>
      <c r="I31" s="845">
        <v>422305.2</v>
      </c>
      <c r="J31" s="530">
        <f t="shared" si="5"/>
        <v>431381.8</v>
      </c>
      <c r="K31" s="845">
        <v>114984.6</v>
      </c>
      <c r="L31" s="521">
        <f t="shared" si="6"/>
        <v>758251.4</v>
      </c>
      <c r="N31" s="1012"/>
    </row>
    <row r="32" spans="1:14" s="678" customFormat="1" ht="10.5" customHeight="1">
      <c r="A32" s="743" t="s">
        <v>1206</v>
      </c>
      <c r="B32" s="482"/>
      <c r="C32" s="1075">
        <v>204770.1</v>
      </c>
      <c r="D32" s="433">
        <v>0</v>
      </c>
      <c r="E32" s="433">
        <v>5265.4</v>
      </c>
      <c r="F32" s="482">
        <v>6435.3</v>
      </c>
      <c r="G32" s="433">
        <f t="shared" si="8"/>
        <v>11700.7</v>
      </c>
      <c r="H32" s="482">
        <v>9159.2000000000007</v>
      </c>
      <c r="I32" s="482">
        <v>430263.2</v>
      </c>
      <c r="J32" s="482">
        <f t="shared" si="5"/>
        <v>439422.4</v>
      </c>
      <c r="K32" s="482">
        <v>115916.9</v>
      </c>
      <c r="L32" s="433">
        <f t="shared" si="6"/>
        <v>771810.10000000009</v>
      </c>
      <c r="N32" s="1012"/>
    </row>
    <row r="33" spans="1:14" s="678" customFormat="1" ht="10.5" customHeight="1">
      <c r="A33" s="757" t="s">
        <v>1213</v>
      </c>
      <c r="B33" s="530"/>
      <c r="C33" s="845">
        <v>203418.1</v>
      </c>
      <c r="D33" s="845">
        <v>0</v>
      </c>
      <c r="E33" s="845">
        <v>5080.5</v>
      </c>
      <c r="F33" s="845">
        <v>6450.6</v>
      </c>
      <c r="G33" s="530">
        <f t="shared" si="8"/>
        <v>11531.1</v>
      </c>
      <c r="H33" s="845">
        <v>9293.2999999999993</v>
      </c>
      <c r="I33" s="845">
        <v>431859.5</v>
      </c>
      <c r="J33" s="530">
        <f t="shared" si="5"/>
        <v>441152.8</v>
      </c>
      <c r="K33" s="845">
        <v>117249.4</v>
      </c>
      <c r="L33" s="521">
        <f t="shared" si="6"/>
        <v>773351.4</v>
      </c>
      <c r="N33" s="1012"/>
    </row>
    <row r="34" spans="1:14" s="678" customFormat="1" ht="12" customHeight="1">
      <c r="A34" s="743" t="s">
        <v>1214</v>
      </c>
      <c r="B34" s="482"/>
      <c r="C34" s="1075">
        <v>202539.2</v>
      </c>
      <c r="D34" s="433">
        <v>0</v>
      </c>
      <c r="E34" s="433">
        <v>5143.1000000000004</v>
      </c>
      <c r="F34" s="482">
        <v>6520.9</v>
      </c>
      <c r="G34" s="433">
        <f t="shared" si="8"/>
        <v>11664</v>
      </c>
      <c r="H34" s="482">
        <v>11077.9</v>
      </c>
      <c r="I34" s="482">
        <v>437454.1</v>
      </c>
      <c r="J34" s="433">
        <f t="shared" si="5"/>
        <v>448532</v>
      </c>
      <c r="K34" s="482">
        <v>117941.4</v>
      </c>
      <c r="L34" s="433">
        <f t="shared" si="6"/>
        <v>780676.6</v>
      </c>
      <c r="N34" s="1012"/>
    </row>
    <row r="35" spans="1:14" s="678" customFormat="1" ht="11.25" customHeight="1">
      <c r="A35" s="757" t="s">
        <v>1207</v>
      </c>
      <c r="B35" s="530"/>
      <c r="C35" s="845">
        <v>201786.9</v>
      </c>
      <c r="D35" s="845">
        <v>0</v>
      </c>
      <c r="E35" s="845">
        <v>5697.4</v>
      </c>
      <c r="F35" s="845">
        <v>6540.2</v>
      </c>
      <c r="G35" s="530">
        <f t="shared" si="8"/>
        <v>12237.599999999999</v>
      </c>
      <c r="H35" s="845">
        <v>12462.7</v>
      </c>
      <c r="I35" s="845">
        <v>448294.5</v>
      </c>
      <c r="J35" s="530">
        <f t="shared" si="5"/>
        <v>460757.2</v>
      </c>
      <c r="K35" s="845">
        <v>120684.8</v>
      </c>
      <c r="L35" s="521">
        <f t="shared" si="6"/>
        <v>795466.5</v>
      </c>
      <c r="N35" s="1012"/>
    </row>
    <row r="36" spans="1:14" s="678" customFormat="1" ht="10.5" customHeight="1">
      <c r="A36" s="743" t="s">
        <v>1215</v>
      </c>
      <c r="B36" s="482"/>
      <c r="C36" s="1075">
        <v>203534.8</v>
      </c>
      <c r="D36" s="433">
        <v>0</v>
      </c>
      <c r="E36" s="433">
        <v>5709.5</v>
      </c>
      <c r="F36" s="482">
        <v>6586.5</v>
      </c>
      <c r="G36" s="433">
        <f t="shared" si="8"/>
        <v>12296</v>
      </c>
      <c r="H36" s="482">
        <v>12106.5</v>
      </c>
      <c r="I36" s="482">
        <v>447501.4</v>
      </c>
      <c r="J36" s="433">
        <f t="shared" si="5"/>
        <v>459607.9</v>
      </c>
      <c r="K36" s="482">
        <v>119945.7</v>
      </c>
      <c r="L36" s="433">
        <f t="shared" si="6"/>
        <v>795384.39999999991</v>
      </c>
      <c r="N36" s="1012"/>
    </row>
    <row r="37" spans="1:14" s="678" customFormat="1" ht="11.25" customHeight="1">
      <c r="A37" s="757" t="s">
        <v>1216</v>
      </c>
      <c r="B37" s="530"/>
      <c r="C37" s="845">
        <v>205637.4</v>
      </c>
      <c r="D37" s="845">
        <v>0</v>
      </c>
      <c r="E37" s="845">
        <v>5162.6000000000004</v>
      </c>
      <c r="F37" s="845">
        <v>6733</v>
      </c>
      <c r="G37" s="530">
        <f t="shared" si="8"/>
        <v>11895.6</v>
      </c>
      <c r="H37" s="845">
        <v>12093</v>
      </c>
      <c r="I37" s="845">
        <v>450051.3</v>
      </c>
      <c r="J37" s="530">
        <f t="shared" si="5"/>
        <v>462144.3</v>
      </c>
      <c r="K37" s="845">
        <v>121143.8</v>
      </c>
      <c r="L37" s="521">
        <f t="shared" si="6"/>
        <v>800821.10000000009</v>
      </c>
      <c r="N37" s="1012"/>
    </row>
    <row r="38" spans="1:14" s="678" customFormat="1" ht="10.5" customHeight="1">
      <c r="A38" s="743" t="s">
        <v>1208</v>
      </c>
      <c r="B38" s="482"/>
      <c r="C38" s="852">
        <v>203350.5</v>
      </c>
      <c r="D38" s="852">
        <v>0</v>
      </c>
      <c r="E38" s="852">
        <v>5090</v>
      </c>
      <c r="F38" s="852">
        <v>7162.7</v>
      </c>
      <c r="G38" s="482">
        <f t="shared" si="8"/>
        <v>12252.7</v>
      </c>
      <c r="H38" s="852">
        <v>12763.7</v>
      </c>
      <c r="I38" s="852">
        <v>456384.7</v>
      </c>
      <c r="J38" s="482">
        <f t="shared" si="5"/>
        <v>469148.4</v>
      </c>
      <c r="K38" s="852">
        <v>121786.2</v>
      </c>
      <c r="L38" s="433">
        <f t="shared" si="6"/>
        <v>806537.8</v>
      </c>
      <c r="N38" s="1012"/>
    </row>
    <row r="39" spans="1:14" s="678" customFormat="1" ht="11.25" customHeight="1">
      <c r="A39" s="757" t="s">
        <v>1217</v>
      </c>
      <c r="B39" s="530"/>
      <c r="C39" s="845">
        <v>204966.39999999999</v>
      </c>
      <c r="D39" s="845">
        <v>0</v>
      </c>
      <c r="E39" s="845">
        <v>5137.1000000000004</v>
      </c>
      <c r="F39" s="845">
        <v>7300.9</v>
      </c>
      <c r="G39" s="521">
        <f t="shared" si="8"/>
        <v>12438</v>
      </c>
      <c r="H39" s="845">
        <v>11908.7</v>
      </c>
      <c r="I39" s="845">
        <v>461141.8</v>
      </c>
      <c r="J39" s="530">
        <f t="shared" si="5"/>
        <v>473050.5</v>
      </c>
      <c r="K39" s="845">
        <v>121873.8</v>
      </c>
      <c r="L39" s="521">
        <f t="shared" si="6"/>
        <v>812328.70000000007</v>
      </c>
      <c r="N39" s="1012"/>
    </row>
    <row r="40" spans="1:14" s="678" customFormat="1" ht="12.95" customHeight="1">
      <c r="A40" s="743" t="s">
        <v>1218</v>
      </c>
      <c r="B40" s="482"/>
      <c r="C40" s="852">
        <v>209054.1</v>
      </c>
      <c r="D40" s="852">
        <v>0</v>
      </c>
      <c r="E40" s="852">
        <v>5090.3999999999996</v>
      </c>
      <c r="F40" s="852">
        <v>7183.4</v>
      </c>
      <c r="G40" s="433">
        <f t="shared" si="8"/>
        <v>12273.8</v>
      </c>
      <c r="H40" s="852">
        <v>11337.8</v>
      </c>
      <c r="I40" s="852">
        <v>464525.8</v>
      </c>
      <c r="J40" s="482">
        <f t="shared" si="5"/>
        <v>475863.6</v>
      </c>
      <c r="K40" s="852">
        <v>122525.5</v>
      </c>
      <c r="L40" s="433">
        <f t="shared" si="6"/>
        <v>819717</v>
      </c>
      <c r="N40" s="1012"/>
    </row>
    <row r="41" spans="1:14" s="678" customFormat="1" ht="10.5" customHeight="1">
      <c r="A41" s="757" t="s">
        <v>1209</v>
      </c>
      <c r="B41" s="530"/>
      <c r="C41" s="845">
        <v>215482.2</v>
      </c>
      <c r="D41" s="845">
        <v>0</v>
      </c>
      <c r="E41" s="845">
        <v>5215.7</v>
      </c>
      <c r="F41" s="845">
        <v>7348.3</v>
      </c>
      <c r="G41" s="521">
        <f t="shared" si="8"/>
        <v>12564</v>
      </c>
      <c r="H41" s="845">
        <v>11313.3</v>
      </c>
      <c r="I41" s="845">
        <v>475125.2</v>
      </c>
      <c r="J41" s="530">
        <f t="shared" si="5"/>
        <v>486438.5</v>
      </c>
      <c r="K41" s="845">
        <v>124669.9</v>
      </c>
      <c r="L41" s="521">
        <f t="shared" si="6"/>
        <v>839154.6</v>
      </c>
      <c r="N41" s="1012"/>
    </row>
    <row r="42" spans="1:14" s="678" customFormat="1" ht="11.25" customHeight="1">
      <c r="A42" s="933" t="s">
        <v>2608</v>
      </c>
      <c r="B42" s="482"/>
      <c r="C42" s="1061">
        <f>C54</f>
        <v>252862.6</v>
      </c>
      <c r="D42" s="1061">
        <f t="shared" ref="D42:L42" si="9">D54</f>
        <v>0</v>
      </c>
      <c r="E42" s="1061">
        <f t="shared" si="9"/>
        <v>6541.6</v>
      </c>
      <c r="F42" s="1061">
        <f t="shared" si="9"/>
        <v>9916</v>
      </c>
      <c r="G42" s="1061">
        <f t="shared" si="9"/>
        <v>16457.599999999999</v>
      </c>
      <c r="H42" s="1061">
        <f t="shared" si="9"/>
        <v>9139.7000000000007</v>
      </c>
      <c r="I42" s="1061">
        <f t="shared" si="9"/>
        <v>565645.19999999995</v>
      </c>
      <c r="J42" s="1061">
        <f t="shared" si="9"/>
        <v>574784.89999999991</v>
      </c>
      <c r="K42" s="1061">
        <f t="shared" si="9"/>
        <v>135861.70000000001</v>
      </c>
      <c r="L42" s="1061">
        <f t="shared" si="9"/>
        <v>979966.79999999981</v>
      </c>
      <c r="N42" s="1012"/>
    </row>
    <row r="43" spans="1:14" s="678" customFormat="1" ht="9.75" customHeight="1">
      <c r="A43" s="757" t="s">
        <v>1211</v>
      </c>
      <c r="B43" s="530"/>
      <c r="C43" s="845">
        <v>228946.4</v>
      </c>
      <c r="D43" s="845">
        <v>0</v>
      </c>
      <c r="E43" s="845">
        <v>5471.9</v>
      </c>
      <c r="F43" s="845">
        <v>7327.5</v>
      </c>
      <c r="G43" s="521">
        <f t="shared" ref="G43:G48" si="10">E43+F43</f>
        <v>12799.4</v>
      </c>
      <c r="H43" s="845">
        <v>9800</v>
      </c>
      <c r="I43" s="845">
        <v>474690.9</v>
      </c>
      <c r="J43" s="521">
        <f t="shared" ref="J43:J48" si="11">H43+I43</f>
        <v>484490.9</v>
      </c>
      <c r="K43" s="845">
        <v>124470.6</v>
      </c>
      <c r="L43" s="521">
        <f t="shared" ref="L43:L48" si="12">C43+D43+G43+J43+K43</f>
        <v>850707.29999999993</v>
      </c>
      <c r="N43" s="1012"/>
    </row>
    <row r="44" spans="1:14" s="678" customFormat="1" ht="10.5" customHeight="1">
      <c r="A44" s="743" t="s">
        <v>1212</v>
      </c>
      <c r="B44" s="482"/>
      <c r="C44" s="852">
        <v>225525.1</v>
      </c>
      <c r="D44" s="852">
        <v>0</v>
      </c>
      <c r="E44" s="852">
        <v>5686.8</v>
      </c>
      <c r="F44" s="852">
        <v>7388.8</v>
      </c>
      <c r="G44" s="433">
        <f t="shared" si="10"/>
        <v>13075.6</v>
      </c>
      <c r="H44" s="852">
        <v>9734.2999999999993</v>
      </c>
      <c r="I44" s="852">
        <v>478431.6</v>
      </c>
      <c r="J44" s="433">
        <f t="shared" si="11"/>
        <v>488165.89999999997</v>
      </c>
      <c r="K44" s="852">
        <v>125139.5</v>
      </c>
      <c r="L44" s="433">
        <f t="shared" si="12"/>
        <v>851906.1</v>
      </c>
      <c r="N44" s="1012"/>
    </row>
    <row r="45" spans="1:14" s="678" customFormat="1" ht="10.5" customHeight="1">
      <c r="A45" s="757" t="s">
        <v>1206</v>
      </c>
      <c r="B45" s="530"/>
      <c r="C45" s="845">
        <v>229910.8</v>
      </c>
      <c r="D45" s="845">
        <v>0</v>
      </c>
      <c r="E45" s="845">
        <v>6087.4</v>
      </c>
      <c r="F45" s="845">
        <v>8027.6</v>
      </c>
      <c r="G45" s="521">
        <f t="shared" si="10"/>
        <v>14115</v>
      </c>
      <c r="H45" s="845">
        <v>9447.2999999999993</v>
      </c>
      <c r="I45" s="845">
        <v>490209.8</v>
      </c>
      <c r="J45" s="521">
        <f t="shared" si="11"/>
        <v>499657.1</v>
      </c>
      <c r="K45" s="845">
        <v>125018.3</v>
      </c>
      <c r="L45" s="521">
        <f t="shared" si="12"/>
        <v>868701.2</v>
      </c>
      <c r="N45" s="1012"/>
    </row>
    <row r="46" spans="1:14" s="678" customFormat="1" ht="9" customHeight="1">
      <c r="A46" s="743" t="s">
        <v>1213</v>
      </c>
      <c r="B46" s="482"/>
      <c r="C46" s="852">
        <v>226694.6</v>
      </c>
      <c r="D46" s="852">
        <v>0</v>
      </c>
      <c r="E46" s="852">
        <v>6252.8</v>
      </c>
      <c r="F46" s="852">
        <v>7791.6</v>
      </c>
      <c r="G46" s="433">
        <f t="shared" si="10"/>
        <v>14044.400000000001</v>
      </c>
      <c r="H46" s="852">
        <v>9625.5</v>
      </c>
      <c r="I46" s="852">
        <v>495364</v>
      </c>
      <c r="J46" s="433">
        <f t="shared" si="11"/>
        <v>504989.5</v>
      </c>
      <c r="K46" s="852">
        <v>125243.3</v>
      </c>
      <c r="L46" s="433">
        <f t="shared" si="12"/>
        <v>870971.8</v>
      </c>
      <c r="N46" s="1012"/>
    </row>
    <row r="47" spans="1:14" s="678" customFormat="1" ht="9" customHeight="1">
      <c r="A47" s="757" t="s">
        <v>1214</v>
      </c>
      <c r="B47" s="530"/>
      <c r="C47" s="845">
        <v>226442.7</v>
      </c>
      <c r="D47" s="845">
        <v>0</v>
      </c>
      <c r="E47" s="845">
        <v>6391.2</v>
      </c>
      <c r="F47" s="845">
        <v>7876.8</v>
      </c>
      <c r="G47" s="521">
        <f t="shared" si="10"/>
        <v>14268</v>
      </c>
      <c r="H47" s="845">
        <v>9573.1</v>
      </c>
      <c r="I47" s="845">
        <v>504265.7</v>
      </c>
      <c r="J47" s="521">
        <f t="shared" si="11"/>
        <v>513838.8</v>
      </c>
      <c r="K47" s="845">
        <v>126365.7</v>
      </c>
      <c r="L47" s="521">
        <f t="shared" si="12"/>
        <v>880915.2</v>
      </c>
      <c r="N47" s="1012"/>
    </row>
    <row r="48" spans="1:14" s="678" customFormat="1" ht="9" customHeight="1">
      <c r="A48" s="743" t="s">
        <v>1207</v>
      </c>
      <c r="B48" s="482"/>
      <c r="C48" s="852">
        <v>221811.1</v>
      </c>
      <c r="D48" s="852">
        <v>0</v>
      </c>
      <c r="E48" s="852">
        <v>6280.6</v>
      </c>
      <c r="F48" s="852">
        <v>8265.2999999999993</v>
      </c>
      <c r="G48" s="433">
        <f t="shared" si="10"/>
        <v>14545.9</v>
      </c>
      <c r="H48" s="852">
        <v>10075.799999999999</v>
      </c>
      <c r="I48" s="852">
        <v>518566.1</v>
      </c>
      <c r="J48" s="433">
        <f t="shared" si="11"/>
        <v>528641.9</v>
      </c>
      <c r="K48" s="852">
        <v>129702.6</v>
      </c>
      <c r="L48" s="433">
        <f t="shared" si="12"/>
        <v>894701.5</v>
      </c>
      <c r="N48" s="1012"/>
    </row>
    <row r="49" spans="1:14" s="678" customFormat="1" ht="10.5" customHeight="1">
      <c r="A49" s="757" t="s">
        <v>1215</v>
      </c>
      <c r="B49" s="530"/>
      <c r="C49" s="845">
        <v>221725.7</v>
      </c>
      <c r="D49" s="845">
        <v>0</v>
      </c>
      <c r="E49" s="845">
        <v>6676.6</v>
      </c>
      <c r="F49" s="845">
        <v>8306.7999999999993</v>
      </c>
      <c r="G49" s="521">
        <f t="shared" ref="G49:G61" si="13">E49+F49</f>
        <v>14983.4</v>
      </c>
      <c r="H49" s="845">
        <v>10834</v>
      </c>
      <c r="I49" s="845">
        <v>522297.2</v>
      </c>
      <c r="J49" s="521">
        <f t="shared" ref="J49:J61" si="14">H49+I49</f>
        <v>533131.19999999995</v>
      </c>
      <c r="K49" s="845">
        <v>128225.1</v>
      </c>
      <c r="L49" s="521">
        <f t="shared" ref="L49:L61" si="15">C49+D49+G49+J49+K49</f>
        <v>898065.39999999991</v>
      </c>
      <c r="N49" s="1012"/>
    </row>
    <row r="50" spans="1:14" s="678" customFormat="1" ht="10.5" customHeight="1">
      <c r="A50" s="743" t="s">
        <v>1216</v>
      </c>
      <c r="B50" s="482"/>
      <c r="C50" s="852">
        <v>227577.9</v>
      </c>
      <c r="D50" s="852">
        <v>0</v>
      </c>
      <c r="E50" s="852">
        <v>6776</v>
      </c>
      <c r="F50" s="852">
        <v>8806.1</v>
      </c>
      <c r="G50" s="433">
        <f t="shared" si="13"/>
        <v>15582.1</v>
      </c>
      <c r="H50" s="852">
        <v>9955.4</v>
      </c>
      <c r="I50" s="852">
        <v>526674.4</v>
      </c>
      <c r="J50" s="433">
        <f t="shared" si="14"/>
        <v>536629.80000000005</v>
      </c>
      <c r="K50" s="852">
        <v>130158.7</v>
      </c>
      <c r="L50" s="433">
        <f t="shared" si="15"/>
        <v>909948.5</v>
      </c>
      <c r="N50" s="1012"/>
    </row>
    <row r="51" spans="1:14" s="678" customFormat="1" ht="11.25" customHeight="1">
      <c r="A51" s="757" t="s">
        <v>1208</v>
      </c>
      <c r="B51" s="530"/>
      <c r="C51" s="845">
        <v>227961.7</v>
      </c>
      <c r="D51" s="845">
        <v>0</v>
      </c>
      <c r="E51" s="845">
        <v>6749.2</v>
      </c>
      <c r="F51" s="845">
        <v>9302.1</v>
      </c>
      <c r="G51" s="521">
        <f t="shared" si="13"/>
        <v>16051.3</v>
      </c>
      <c r="H51" s="845">
        <v>10160</v>
      </c>
      <c r="I51" s="845">
        <v>534217.5</v>
      </c>
      <c r="J51" s="521">
        <f t="shared" si="14"/>
        <v>544377.5</v>
      </c>
      <c r="K51" s="845">
        <v>131298.4</v>
      </c>
      <c r="L51" s="521">
        <f t="shared" si="15"/>
        <v>919688.9</v>
      </c>
      <c r="N51" s="1012"/>
    </row>
    <row r="52" spans="1:14" s="678" customFormat="1" ht="10.5" customHeight="1">
      <c r="A52" s="743" t="s">
        <v>1217</v>
      </c>
      <c r="B52" s="482"/>
      <c r="C52" s="852">
        <v>229035</v>
      </c>
      <c r="D52" s="852">
        <v>0</v>
      </c>
      <c r="E52" s="852">
        <v>6893.9</v>
      </c>
      <c r="F52" s="852">
        <v>9376.2999999999993</v>
      </c>
      <c r="G52" s="433">
        <f t="shared" si="13"/>
        <v>16270.199999999999</v>
      </c>
      <c r="H52" s="852">
        <v>9890.5</v>
      </c>
      <c r="I52" s="852">
        <v>543308.69999999995</v>
      </c>
      <c r="J52" s="433">
        <f t="shared" si="14"/>
        <v>553199.19999999995</v>
      </c>
      <c r="K52" s="852">
        <v>131363.6</v>
      </c>
      <c r="L52" s="433">
        <f t="shared" si="15"/>
        <v>929867.99999999988</v>
      </c>
      <c r="N52" s="1012"/>
    </row>
    <row r="53" spans="1:14" s="678" customFormat="1" ht="9.75" customHeight="1">
      <c r="A53" s="757" t="s">
        <v>1218</v>
      </c>
      <c r="B53" s="530"/>
      <c r="C53" s="845">
        <v>237185.3</v>
      </c>
      <c r="D53" s="845">
        <v>0</v>
      </c>
      <c r="E53" s="845">
        <v>6695</v>
      </c>
      <c r="F53" s="845">
        <v>9866.7999999999993</v>
      </c>
      <c r="G53" s="521">
        <f t="shared" si="13"/>
        <v>16561.8</v>
      </c>
      <c r="H53" s="845">
        <v>10023.799999999999</v>
      </c>
      <c r="I53" s="845">
        <v>551306.69999999995</v>
      </c>
      <c r="J53" s="521">
        <f t="shared" si="14"/>
        <v>561330.5</v>
      </c>
      <c r="K53" s="845">
        <v>132523.79999999999</v>
      </c>
      <c r="L53" s="521">
        <f t="shared" si="15"/>
        <v>947601.39999999991</v>
      </c>
      <c r="N53" s="1012"/>
    </row>
    <row r="54" spans="1:14" s="678" customFormat="1" ht="12" customHeight="1">
      <c r="A54" s="909" t="s">
        <v>1209</v>
      </c>
      <c r="B54" s="482"/>
      <c r="C54" s="852">
        <v>252862.6</v>
      </c>
      <c r="D54" s="852">
        <v>0</v>
      </c>
      <c r="E54" s="852">
        <v>6541.6</v>
      </c>
      <c r="F54" s="852">
        <v>9916</v>
      </c>
      <c r="G54" s="433">
        <f t="shared" si="13"/>
        <v>16457.599999999999</v>
      </c>
      <c r="H54" s="852">
        <v>9139.7000000000007</v>
      </c>
      <c r="I54" s="852">
        <v>565645.19999999995</v>
      </c>
      <c r="J54" s="433">
        <f t="shared" si="14"/>
        <v>574784.89999999991</v>
      </c>
      <c r="K54" s="852">
        <v>135861.70000000001</v>
      </c>
      <c r="L54" s="433">
        <f t="shared" si="15"/>
        <v>979966.79999999981</v>
      </c>
      <c r="N54" s="1012"/>
    </row>
    <row r="55" spans="1:14" s="678" customFormat="1" ht="11.25" customHeight="1">
      <c r="A55" s="1048" t="s">
        <v>2809</v>
      </c>
      <c r="B55" s="530"/>
      <c r="C55" s="845"/>
      <c r="D55" s="845"/>
      <c r="E55" s="845"/>
      <c r="F55" s="845"/>
      <c r="G55" s="521"/>
      <c r="H55" s="845"/>
      <c r="I55" s="845"/>
      <c r="J55" s="521"/>
      <c r="K55" s="845"/>
      <c r="L55" s="521"/>
      <c r="N55" s="1012"/>
    </row>
    <row r="56" spans="1:14" s="678" customFormat="1" ht="12.75" customHeight="1">
      <c r="A56" s="462" t="s">
        <v>1211</v>
      </c>
      <c r="B56" s="482"/>
      <c r="C56" s="852">
        <v>258856.3</v>
      </c>
      <c r="D56" s="852">
        <v>0</v>
      </c>
      <c r="E56" s="852">
        <v>6653.7</v>
      </c>
      <c r="F56" s="852">
        <v>10663.7</v>
      </c>
      <c r="G56" s="433">
        <f t="shared" si="13"/>
        <v>17317.400000000001</v>
      </c>
      <c r="H56" s="852">
        <v>8989.2999999999993</v>
      </c>
      <c r="I56" s="852">
        <v>558983.69999999995</v>
      </c>
      <c r="J56" s="433">
        <f t="shared" si="14"/>
        <v>567973</v>
      </c>
      <c r="K56" s="852">
        <v>136409.4</v>
      </c>
      <c r="L56" s="433">
        <f t="shared" si="15"/>
        <v>980556.1</v>
      </c>
      <c r="N56" s="1012"/>
    </row>
    <row r="57" spans="1:14" s="678" customFormat="1" ht="12.75" customHeight="1">
      <c r="A57" s="596" t="s">
        <v>1212</v>
      </c>
      <c r="B57" s="530"/>
      <c r="C57" s="845">
        <v>259794.4</v>
      </c>
      <c r="D57" s="845">
        <v>0</v>
      </c>
      <c r="E57" s="845">
        <v>6872.4</v>
      </c>
      <c r="F57" s="845">
        <v>10396.799999999999</v>
      </c>
      <c r="G57" s="521">
        <f t="shared" si="13"/>
        <v>17269.199999999997</v>
      </c>
      <c r="H57" s="845">
        <v>8879.2000000000007</v>
      </c>
      <c r="I57" s="845">
        <v>565938.69999999995</v>
      </c>
      <c r="J57" s="521">
        <f t="shared" si="14"/>
        <v>574817.89999999991</v>
      </c>
      <c r="K57" s="845">
        <v>136673</v>
      </c>
      <c r="L57" s="521">
        <f t="shared" si="15"/>
        <v>988554.49999999988</v>
      </c>
      <c r="N57" s="1012"/>
    </row>
    <row r="58" spans="1:14" s="678" customFormat="1" ht="12.75" customHeight="1">
      <c r="A58" s="1513" t="s">
        <v>1206</v>
      </c>
      <c r="B58" s="482"/>
      <c r="C58" s="852">
        <v>263999.40000000002</v>
      </c>
      <c r="D58" s="852">
        <v>0</v>
      </c>
      <c r="E58" s="852">
        <v>6687</v>
      </c>
      <c r="F58" s="852">
        <v>10154.1</v>
      </c>
      <c r="G58" s="433">
        <f t="shared" si="13"/>
        <v>16841.099999999999</v>
      </c>
      <c r="H58" s="852">
        <v>8862.1</v>
      </c>
      <c r="I58" s="852">
        <v>572227.19999999995</v>
      </c>
      <c r="J58" s="433">
        <f t="shared" si="14"/>
        <v>581089.29999999993</v>
      </c>
      <c r="K58" s="852">
        <v>139332.6</v>
      </c>
      <c r="L58" s="433">
        <f t="shared" si="15"/>
        <v>1001262.3999999999</v>
      </c>
      <c r="N58" s="1012"/>
    </row>
    <row r="59" spans="1:14" s="678" customFormat="1" ht="12.75" customHeight="1">
      <c r="A59" s="596" t="s">
        <v>1213</v>
      </c>
      <c r="B59" s="530"/>
      <c r="C59" s="845">
        <v>264588.79999999999</v>
      </c>
      <c r="D59" s="845">
        <v>0</v>
      </c>
      <c r="E59" s="845">
        <v>6514.7</v>
      </c>
      <c r="F59" s="845">
        <v>10154.799999999999</v>
      </c>
      <c r="G59" s="521">
        <f t="shared" si="13"/>
        <v>16669.5</v>
      </c>
      <c r="H59" s="845">
        <v>8540.6</v>
      </c>
      <c r="I59" s="845">
        <v>575676.6</v>
      </c>
      <c r="J59" s="521">
        <f t="shared" si="14"/>
        <v>584217.19999999995</v>
      </c>
      <c r="K59" s="845">
        <v>140848.5</v>
      </c>
      <c r="L59" s="521">
        <f t="shared" si="15"/>
        <v>1006324</v>
      </c>
      <c r="N59" s="1012"/>
    </row>
    <row r="60" spans="1:14" s="678" customFormat="1" ht="12.75" customHeight="1">
      <c r="A60" s="1513" t="s">
        <v>1214</v>
      </c>
      <c r="B60" s="482"/>
      <c r="C60" s="852">
        <v>267623.5</v>
      </c>
      <c r="D60" s="852">
        <v>0</v>
      </c>
      <c r="E60" s="852">
        <v>6875.1</v>
      </c>
      <c r="F60" s="852">
        <v>10504.5</v>
      </c>
      <c r="G60" s="433">
        <f t="shared" si="13"/>
        <v>17379.599999999999</v>
      </c>
      <c r="H60" s="852">
        <v>8482.2000000000007</v>
      </c>
      <c r="I60" s="852">
        <v>583493.4</v>
      </c>
      <c r="J60" s="433">
        <f t="shared" si="14"/>
        <v>591975.6</v>
      </c>
      <c r="K60" s="852">
        <v>142776</v>
      </c>
      <c r="L60" s="433">
        <f t="shared" si="15"/>
        <v>1019754.7</v>
      </c>
      <c r="N60" s="1012"/>
    </row>
    <row r="61" spans="1:14" s="678" customFormat="1" ht="12.75" customHeight="1" thickBot="1">
      <c r="A61" s="1597" t="s">
        <v>1207</v>
      </c>
      <c r="B61" s="1010"/>
      <c r="C61" s="1568">
        <v>260775.60000000003</v>
      </c>
      <c r="D61" s="1568">
        <v>0</v>
      </c>
      <c r="E61" s="1568">
        <v>7136.1</v>
      </c>
      <c r="F61" s="1568">
        <v>12435.8</v>
      </c>
      <c r="G61" s="1569">
        <f t="shared" si="13"/>
        <v>19571.900000000001</v>
      </c>
      <c r="H61" s="1568">
        <v>8850.9</v>
      </c>
      <c r="I61" s="1568">
        <v>601417.19999999995</v>
      </c>
      <c r="J61" s="1568">
        <f t="shared" si="14"/>
        <v>610268.1</v>
      </c>
      <c r="K61" s="1568">
        <v>146069.79999999999</v>
      </c>
      <c r="L61" s="1569">
        <f t="shared" si="15"/>
        <v>1036685.4000000001</v>
      </c>
      <c r="N61" s="1012"/>
    </row>
    <row r="62" spans="1:14" s="332" customFormat="1" ht="9.75" customHeight="1">
      <c r="A62" s="1004" t="s">
        <v>532</v>
      </c>
      <c r="B62" s="491" t="s">
        <v>43</v>
      </c>
      <c r="C62" s="491" t="s">
        <v>531</v>
      </c>
      <c r="D62" s="491"/>
      <c r="E62" s="491"/>
      <c r="F62" s="491"/>
      <c r="G62" s="491"/>
      <c r="H62" s="1005" t="s">
        <v>1971</v>
      </c>
      <c r="I62" s="1006"/>
      <c r="K62" s="1006"/>
      <c r="L62" s="1006"/>
    </row>
    <row r="63" spans="1:14" s="420" customFormat="1" ht="11.25" customHeight="1">
      <c r="B63" s="492" t="s">
        <v>842</v>
      </c>
      <c r="C63" s="1833" t="s">
        <v>2879</v>
      </c>
      <c r="D63" s="1833"/>
      <c r="E63" s="1833"/>
      <c r="F63" s="1833"/>
      <c r="G63" s="1833"/>
      <c r="H63" s="492"/>
      <c r="I63" s="492"/>
      <c r="J63" s="492"/>
      <c r="K63" s="492"/>
      <c r="L63" s="492"/>
    </row>
  </sheetData>
  <mergeCells count="10">
    <mergeCell ref="L3:L4"/>
    <mergeCell ref="H3:J3"/>
    <mergeCell ref="C63:G63"/>
    <mergeCell ref="C3:C4"/>
    <mergeCell ref="A3:B5"/>
    <mergeCell ref="H1:J1"/>
    <mergeCell ref="K3:K4"/>
    <mergeCell ref="E1:G1"/>
    <mergeCell ref="D3:D4"/>
    <mergeCell ref="E3:G3"/>
  </mergeCells>
  <phoneticPr fontId="3" type="noConversion"/>
  <conditionalFormatting sqref="J22:J25 L22:L25 G22:G25 C7:L21 B7:B61 A7:A55">
    <cfRule type="expression" dxfId="2" priority="8" stopIfTrue="1">
      <formula>MOD(ROW(),2)=1</formula>
    </cfRule>
  </conditionalFormatting>
  <conditionalFormatting sqref="A54:A55">
    <cfRule type="expression" dxfId="1" priority="5" stopIfTrue="1">
      <formula>MOD(ROW(),2)=1</formula>
    </cfRule>
  </conditionalFormatting>
  <conditionalFormatting sqref="A54:A55">
    <cfRule type="expression" dxfId="0" priority="3" stopIfTrue="1">
      <formula>MOD(ROW(),2)=1</formula>
    </cfRule>
    <cfRule type="expression" priority="4" stopIfTrue="1">
      <formula>MOD(ROW(),2)=1</formula>
    </cfRule>
  </conditionalFormatting>
  <conditionalFormatting sqref="A54:A55">
    <cfRule type="expression" priority="2" stopIfTrue="1">
      <formula>MOD(row,0)=0</formula>
    </cfRule>
  </conditionalFormatting>
  <conditionalFormatting sqref="A54:A55">
    <cfRule type="expression" priority="1" stopIfTrue="1">
      <formula>MOD((((#REF!))),0)=0</formula>
    </cfRule>
  </conditionalFormatting>
  <pageMargins left="0.62992125984252001" right="0.511811023622047" top="0.511811023622047" bottom="0.31496062992126" header="0" footer="0.31496062992126"/>
  <pageSetup paperSize="512" firstPageNumber="20" orientation="portrait" useFirstPageNumber="1" r:id="rId1"/>
  <headerFooter alignWithMargins="0">
    <oddFooter>&amp;C&amp;"Times New Roman,Regular"&amp;8&amp;P</oddFooter>
  </headerFooter>
  <ignoredErrors>
    <ignoredError sqref="J16:L16 G16" 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>
  <dimension ref="A1:BV52"/>
  <sheetViews>
    <sheetView topLeftCell="A4" zoomScaleNormal="100" workbookViewId="0">
      <pane xSplit="2" ySplit="5" topLeftCell="C9" activePane="bottomRight" state="frozen"/>
      <selection activeCell="A4" sqref="A4"/>
      <selection pane="topRight" activeCell="C4" sqref="C4"/>
      <selection pane="bottomLeft" activeCell="A9" sqref="A9"/>
      <selection pane="bottomRight" activeCell="BV30" sqref="BV30"/>
    </sheetView>
  </sheetViews>
  <sheetFormatPr defaultColWidth="9.140625" defaultRowHeight="12.75"/>
  <cols>
    <col min="1" max="1" width="2.140625" style="1133" customWidth="1"/>
    <col min="2" max="2" width="5" style="1133" customWidth="1"/>
    <col min="3" max="4" width="7.7109375" style="1133" customWidth="1"/>
    <col min="5" max="5" width="6.140625" style="1133" customWidth="1"/>
    <col min="6" max="6" width="5.5703125" style="1133" customWidth="1"/>
    <col min="7" max="7" width="7.42578125" style="1133" customWidth="1"/>
    <col min="8" max="8" width="7.85546875" style="1133" customWidth="1"/>
    <col min="9" max="9" width="7.42578125" style="1133" customWidth="1"/>
    <col min="10" max="10" width="7.28515625" style="1133" customWidth="1"/>
    <col min="11" max="11" width="6.7109375" style="1133" customWidth="1"/>
    <col min="12" max="12" width="6.85546875" style="1133" customWidth="1"/>
    <col min="13" max="13" width="5.85546875" style="1133" customWidth="1"/>
    <col min="14" max="14" width="5.42578125" style="1133" customWidth="1"/>
    <col min="15" max="15" width="7.140625" style="1133" customWidth="1"/>
    <col min="16" max="16" width="5.42578125" style="1133" customWidth="1"/>
    <col min="17" max="17" width="6.7109375" style="1133" customWidth="1"/>
    <col min="18" max="18" width="6" style="1133" customWidth="1"/>
    <col min="19" max="19" width="5.7109375" style="1133" customWidth="1"/>
    <col min="20" max="20" width="5.42578125" style="1133" customWidth="1"/>
    <col min="21" max="21" width="6" style="1133" customWidth="1"/>
    <col min="22" max="22" width="5.140625" style="1133" customWidth="1"/>
    <col min="23" max="23" width="7.42578125" style="1133" customWidth="1"/>
    <col min="24" max="24" width="5.42578125" style="1133" customWidth="1"/>
    <col min="25" max="25" width="7.7109375" style="1133" customWidth="1"/>
    <col min="26" max="26" width="2.140625" style="1243" customWidth="1"/>
    <col min="27" max="27" width="5" style="1133" customWidth="1"/>
    <col min="28" max="28" width="8.42578125" style="1133" customWidth="1"/>
    <col min="29" max="29" width="6.85546875" style="1133" customWidth="1"/>
    <col min="30" max="30" width="5" style="1133" customWidth="1"/>
    <col min="31" max="31" width="4.85546875" style="1133" customWidth="1"/>
    <col min="32" max="32" width="6.85546875" style="1133" customWidth="1"/>
    <col min="33" max="33" width="6.28515625" style="1133" customWidth="1"/>
    <col min="34" max="34" width="6.42578125" style="1133" customWidth="1"/>
    <col min="35" max="35" width="5" style="1133" customWidth="1"/>
    <col min="36" max="36" width="6.7109375" style="1133" customWidth="1"/>
    <col min="37" max="37" width="5" style="1133" customWidth="1"/>
    <col min="38" max="38" width="6.5703125" style="1133" customWidth="1"/>
    <col min="39" max="39" width="6.140625" style="1133" customWidth="1"/>
    <col min="40" max="40" width="9.140625" style="1133" customWidth="1"/>
    <col min="41" max="41" width="8.140625" style="1133" customWidth="1"/>
    <col min="42" max="42" width="8.5703125" style="1133" customWidth="1"/>
    <col min="43" max="43" width="7.140625" style="1133" customWidth="1"/>
    <col min="44" max="44" width="7.85546875" style="1133" customWidth="1"/>
    <col min="45" max="45" width="6.5703125" style="1133" customWidth="1"/>
    <col min="46" max="47" width="7.7109375" style="1133" customWidth="1"/>
    <col min="48" max="48" width="8.5703125" style="1133" customWidth="1"/>
    <col min="49" max="49" width="8.28515625" style="1133" customWidth="1"/>
    <col min="50" max="50" width="2.140625" style="1243" customWidth="1"/>
    <col min="51" max="51" width="5" style="1133" customWidth="1"/>
    <col min="52" max="52" width="5.28515625" style="1133" customWidth="1"/>
    <col min="53" max="53" width="5" style="1133" customWidth="1"/>
    <col min="54" max="54" width="6.85546875" style="1133" customWidth="1"/>
    <col min="55" max="55" width="6.140625" style="1133" customWidth="1"/>
    <col min="56" max="56" width="8" style="1133" customWidth="1"/>
    <col min="57" max="57" width="6.5703125" style="1133" customWidth="1"/>
    <col min="58" max="58" width="6" style="1133" customWidth="1"/>
    <col min="59" max="60" width="6.85546875" style="1133" customWidth="1"/>
    <col min="61" max="61" width="7.85546875" style="1133" customWidth="1"/>
    <col min="62" max="62" width="8" style="1133" customWidth="1"/>
    <col min="63" max="63" width="7.140625" style="1133" customWidth="1"/>
    <col min="64" max="64" width="6.28515625" style="1133" customWidth="1"/>
    <col min="65" max="65" width="6.5703125" style="1133" customWidth="1"/>
    <col min="66" max="66" width="9.28515625" style="1133" customWidth="1"/>
    <col min="67" max="67" width="6.85546875" style="1133" customWidth="1"/>
    <col min="68" max="68" width="8.28515625" style="1133" customWidth="1"/>
    <col min="69" max="69" width="4.85546875" style="1133" customWidth="1"/>
    <col min="70" max="70" width="8.28515625" style="1133" customWidth="1"/>
    <col min="71" max="71" width="5.5703125" style="1133" customWidth="1"/>
    <col min="72" max="72" width="6.140625" style="1133" customWidth="1"/>
    <col min="73" max="73" width="6" style="1133" customWidth="1"/>
    <col min="74" max="74" width="5.85546875" style="1133" customWidth="1"/>
    <col min="75" max="16384" width="9.140625" style="1133"/>
  </cols>
  <sheetData>
    <row r="1" spans="1:74" s="1116" customFormat="1" ht="33" customHeight="1">
      <c r="H1" s="1870" t="s">
        <v>2465</v>
      </c>
      <c r="I1" s="1870"/>
      <c r="J1" s="1870"/>
      <c r="K1" s="1870"/>
      <c r="L1" s="1870"/>
      <c r="M1" s="1870"/>
      <c r="N1" s="1870"/>
      <c r="O1" s="1870"/>
      <c r="P1" s="1870"/>
      <c r="Q1" s="1870"/>
      <c r="R1" s="1870"/>
      <c r="S1" s="1870"/>
      <c r="V1" s="1869" t="s">
        <v>2518</v>
      </c>
      <c r="W1" s="1869"/>
      <c r="X1" s="1869"/>
      <c r="Y1" s="1869"/>
      <c r="Z1" s="1244"/>
      <c r="AH1" s="1870" t="s">
        <v>2522</v>
      </c>
      <c r="AI1" s="1870"/>
      <c r="AJ1" s="1870"/>
      <c r="AK1" s="1870"/>
      <c r="AL1" s="1870"/>
      <c r="AM1" s="1870"/>
      <c r="AN1" s="1870"/>
      <c r="AO1" s="1870"/>
      <c r="AP1" s="1870"/>
      <c r="AQ1" s="1870"/>
      <c r="AR1" s="1870"/>
      <c r="AT1" s="1869" t="s">
        <v>2518</v>
      </c>
      <c r="AU1" s="1869"/>
      <c r="AV1" s="1869"/>
      <c r="AW1" s="1869"/>
      <c r="AX1" s="1244"/>
      <c r="BD1" s="1117"/>
      <c r="BE1" s="1117"/>
      <c r="BF1" s="1117"/>
      <c r="BG1" s="1870" t="s">
        <v>2513</v>
      </c>
      <c r="BH1" s="1870"/>
      <c r="BI1" s="1870"/>
      <c r="BJ1" s="1870"/>
      <c r="BK1" s="1870"/>
      <c r="BL1" s="1870"/>
      <c r="BM1" s="1870"/>
      <c r="BN1" s="1870"/>
      <c r="BO1" s="1870"/>
      <c r="BP1" s="1117"/>
      <c r="BQ1" s="1117"/>
      <c r="BS1" s="1869" t="s">
        <v>2523</v>
      </c>
      <c r="BT1" s="1869"/>
      <c r="BU1" s="1869"/>
      <c r="BV1" s="1869"/>
    </row>
    <row r="2" spans="1:74" s="1118" customFormat="1" ht="11.25" customHeight="1">
      <c r="J2" s="1119"/>
      <c r="K2" s="1120"/>
      <c r="L2" s="1120"/>
      <c r="M2" s="1120"/>
      <c r="N2" s="1120"/>
      <c r="O2" s="1120"/>
      <c r="P2" s="1120"/>
      <c r="Q2" s="1120"/>
      <c r="R2" s="1120"/>
      <c r="S2" s="1120"/>
      <c r="T2" s="1121"/>
      <c r="U2" s="1121"/>
      <c r="V2" s="1122"/>
      <c r="W2" s="1122"/>
      <c r="X2" s="1122"/>
      <c r="Y2" s="1122"/>
      <c r="Z2" s="1245"/>
      <c r="AH2" s="1120"/>
      <c r="AI2" s="1120"/>
      <c r="AJ2" s="1120"/>
      <c r="AK2" s="1120"/>
      <c r="AL2" s="1120"/>
      <c r="AM2" s="1120"/>
      <c r="AN2" s="1120"/>
      <c r="AO2" s="1120"/>
      <c r="AP2" s="1121"/>
      <c r="AQ2" s="1121"/>
      <c r="AR2" s="1121"/>
      <c r="AS2" s="1121"/>
      <c r="AT2" s="1122"/>
      <c r="AU2" s="1122"/>
      <c r="AV2" s="1122"/>
      <c r="AW2" s="1122"/>
      <c r="AX2" s="1245"/>
      <c r="BC2" s="1120"/>
      <c r="BD2" s="1120"/>
      <c r="BE2" s="1120"/>
      <c r="BF2" s="1120"/>
      <c r="BG2" s="1120"/>
      <c r="BH2" s="1120"/>
      <c r="BI2" s="1120"/>
      <c r="BM2" s="1119"/>
      <c r="BN2" s="1119"/>
      <c r="BO2" s="1119"/>
      <c r="BP2" s="1119"/>
      <c r="BQ2" s="1119"/>
      <c r="BR2" s="1116"/>
      <c r="BT2" s="1123"/>
      <c r="BU2" s="1122"/>
      <c r="BV2" s="1122"/>
    </row>
    <row r="3" spans="1:74" s="1124" customFormat="1" ht="12.75" customHeight="1">
      <c r="A3" s="1876" t="s">
        <v>2466</v>
      </c>
      <c r="B3" s="1877"/>
      <c r="C3" s="1890" t="s">
        <v>2467</v>
      </c>
      <c r="D3" s="1890"/>
      <c r="E3" s="1890"/>
      <c r="F3" s="1890"/>
      <c r="G3" s="1890"/>
      <c r="H3" s="1890"/>
      <c r="I3" s="1872" t="s">
        <v>2468</v>
      </c>
      <c r="J3" s="1872"/>
      <c r="K3" s="1905" t="s">
        <v>2525</v>
      </c>
      <c r="L3" s="1906"/>
      <c r="M3" s="1906"/>
      <c r="N3" s="1906"/>
      <c r="O3" s="1906"/>
      <c r="P3" s="1906"/>
      <c r="Q3" s="1906"/>
      <c r="R3" s="1906"/>
      <c r="S3" s="1906"/>
      <c r="T3" s="1906"/>
      <c r="U3" s="1906"/>
      <c r="V3" s="1906"/>
      <c r="W3" s="1906"/>
      <c r="X3" s="1906"/>
      <c r="Y3" s="1907"/>
      <c r="Z3" s="1876" t="s">
        <v>2466</v>
      </c>
      <c r="AA3" s="1877"/>
      <c r="AB3" s="1890" t="s">
        <v>2519</v>
      </c>
      <c r="AC3" s="1890"/>
      <c r="AD3" s="1890"/>
      <c r="AE3" s="1890"/>
      <c r="AF3" s="1890"/>
      <c r="AG3" s="1890"/>
      <c r="AH3" s="1890"/>
      <c r="AI3" s="1890"/>
      <c r="AJ3" s="1890"/>
      <c r="AK3" s="1890"/>
      <c r="AL3" s="1890"/>
      <c r="AM3" s="1890"/>
      <c r="AN3" s="1890"/>
      <c r="AO3" s="1890"/>
      <c r="AP3" s="1890"/>
      <c r="AQ3" s="1890"/>
      <c r="AR3" s="1890"/>
      <c r="AS3" s="1890"/>
      <c r="AT3" s="1890"/>
      <c r="AU3" s="1890"/>
      <c r="AV3" s="1890"/>
      <c r="AW3" s="1890"/>
      <c r="AX3" s="1876" t="s">
        <v>2466</v>
      </c>
      <c r="AY3" s="1877"/>
      <c r="AZ3" s="1890" t="s">
        <v>2469</v>
      </c>
      <c r="BA3" s="1890"/>
      <c r="BB3" s="1890"/>
      <c r="BC3" s="1890"/>
      <c r="BD3" s="1890"/>
      <c r="BE3" s="1890"/>
      <c r="BF3" s="1890" t="s">
        <v>2603</v>
      </c>
      <c r="BG3" s="1890"/>
      <c r="BH3" s="1890"/>
      <c r="BI3" s="1890"/>
      <c r="BJ3" s="1884" t="s">
        <v>2520</v>
      </c>
      <c r="BK3" s="1885"/>
      <c r="BL3" s="1886"/>
      <c r="BM3" s="1890" t="s">
        <v>2470</v>
      </c>
      <c r="BN3" s="1890"/>
      <c r="BO3" s="1890"/>
      <c r="BP3" s="1890"/>
      <c r="BQ3" s="1890" t="s">
        <v>2471</v>
      </c>
      <c r="BR3" s="1890"/>
      <c r="BS3" s="1890"/>
      <c r="BT3" s="1890"/>
      <c r="BU3" s="1883" t="s">
        <v>2524</v>
      </c>
      <c r="BV3" s="1871" t="s">
        <v>2521</v>
      </c>
    </row>
    <row r="4" spans="1:74" s="1124" customFormat="1" ht="15.75" customHeight="1">
      <c r="A4" s="1878"/>
      <c r="B4" s="1879"/>
      <c r="C4" s="1890"/>
      <c r="D4" s="1890"/>
      <c r="E4" s="1890"/>
      <c r="F4" s="1890"/>
      <c r="G4" s="1890"/>
      <c r="H4" s="1890"/>
      <c r="I4" s="1872"/>
      <c r="J4" s="1872"/>
      <c r="K4" s="1890" t="s">
        <v>2472</v>
      </c>
      <c r="L4" s="1890"/>
      <c r="M4" s="1890"/>
      <c r="N4" s="1890"/>
      <c r="O4" s="1890"/>
      <c r="P4" s="1890"/>
      <c r="Q4" s="1890"/>
      <c r="R4" s="1890"/>
      <c r="S4" s="1890"/>
      <c r="T4" s="1890"/>
      <c r="U4" s="1890"/>
      <c r="V4" s="1890"/>
      <c r="W4" s="1890"/>
      <c r="X4" s="1890"/>
      <c r="Y4" s="1890"/>
      <c r="Z4" s="1878"/>
      <c r="AA4" s="1879"/>
      <c r="AB4" s="1890" t="s">
        <v>2473</v>
      </c>
      <c r="AC4" s="1890"/>
      <c r="AD4" s="1890"/>
      <c r="AE4" s="1890"/>
      <c r="AF4" s="1890"/>
      <c r="AG4" s="1890"/>
      <c r="AH4" s="1890"/>
      <c r="AI4" s="1890"/>
      <c r="AJ4" s="1890"/>
      <c r="AK4" s="1890"/>
      <c r="AL4" s="1890"/>
      <c r="AM4" s="1890"/>
      <c r="AN4" s="1890"/>
      <c r="AO4" s="1890"/>
      <c r="AP4" s="1899" t="s">
        <v>2474</v>
      </c>
      <c r="AQ4" s="1899"/>
      <c r="AR4" s="1899"/>
      <c r="AS4" s="1899"/>
      <c r="AT4" s="1904" t="s">
        <v>2475</v>
      </c>
      <c r="AU4" s="1904"/>
      <c r="AV4" s="1904"/>
      <c r="AW4" s="1904"/>
      <c r="AX4" s="1878"/>
      <c r="AY4" s="1879"/>
      <c r="AZ4" s="1904" t="s">
        <v>2476</v>
      </c>
      <c r="BA4" s="1904"/>
      <c r="BB4" s="1904"/>
      <c r="BC4" s="1904"/>
      <c r="BD4" s="1890" t="s">
        <v>1128</v>
      </c>
      <c r="BE4" s="1890"/>
      <c r="BF4" s="1890"/>
      <c r="BG4" s="1890"/>
      <c r="BH4" s="1890"/>
      <c r="BI4" s="1890"/>
      <c r="BJ4" s="1887"/>
      <c r="BK4" s="1888"/>
      <c r="BL4" s="1889"/>
      <c r="BM4" s="1890"/>
      <c r="BN4" s="1890"/>
      <c r="BO4" s="1890"/>
      <c r="BP4" s="1890"/>
      <c r="BQ4" s="1890"/>
      <c r="BR4" s="1890"/>
      <c r="BS4" s="1890"/>
      <c r="BT4" s="1890"/>
      <c r="BU4" s="1883"/>
      <c r="BV4" s="1871"/>
    </row>
    <row r="5" spans="1:74" s="1125" customFormat="1" ht="12" customHeight="1">
      <c r="A5" s="1878"/>
      <c r="B5" s="1879"/>
      <c r="C5" s="1872" t="s">
        <v>2477</v>
      </c>
      <c r="D5" s="1872"/>
      <c r="E5" s="1872" t="s">
        <v>2478</v>
      </c>
      <c r="F5" s="1872"/>
      <c r="G5" s="1872" t="s">
        <v>1128</v>
      </c>
      <c r="H5" s="1872"/>
      <c r="I5" s="1872"/>
      <c r="J5" s="1872"/>
      <c r="K5" s="1908" t="s">
        <v>2512</v>
      </c>
      <c r="L5" s="1909"/>
      <c r="M5" s="1909"/>
      <c r="N5" s="1910"/>
      <c r="O5" s="1873" t="s">
        <v>2479</v>
      </c>
      <c r="P5" s="1873"/>
      <c r="Q5" s="1873"/>
      <c r="R5" s="1873"/>
      <c r="S5" s="1873" t="s">
        <v>2480</v>
      </c>
      <c r="T5" s="1873"/>
      <c r="U5" s="1873"/>
      <c r="V5" s="1873"/>
      <c r="W5" s="1873" t="s">
        <v>1128</v>
      </c>
      <c r="X5" s="1873"/>
      <c r="Y5" s="1891" t="s">
        <v>2481</v>
      </c>
      <c r="Z5" s="1878"/>
      <c r="AA5" s="1879"/>
      <c r="AB5" s="1873" t="s">
        <v>2482</v>
      </c>
      <c r="AC5" s="1873"/>
      <c r="AD5" s="1873"/>
      <c r="AE5" s="1873"/>
      <c r="AF5" s="1873" t="s">
        <v>2479</v>
      </c>
      <c r="AG5" s="1873"/>
      <c r="AH5" s="1873"/>
      <c r="AI5" s="1873"/>
      <c r="AJ5" s="1873" t="s">
        <v>2483</v>
      </c>
      <c r="AK5" s="1873"/>
      <c r="AL5" s="1873"/>
      <c r="AM5" s="1873"/>
      <c r="AN5" s="1872" t="s">
        <v>1128</v>
      </c>
      <c r="AO5" s="1872"/>
      <c r="AP5" s="1899"/>
      <c r="AQ5" s="1899"/>
      <c r="AR5" s="1899"/>
      <c r="AS5" s="1899"/>
      <c r="AT5" s="1904"/>
      <c r="AU5" s="1904"/>
      <c r="AV5" s="1904"/>
      <c r="AW5" s="1904"/>
      <c r="AX5" s="1878"/>
      <c r="AY5" s="1879"/>
      <c r="AZ5" s="1904"/>
      <c r="BA5" s="1904"/>
      <c r="BB5" s="1904"/>
      <c r="BC5" s="1904"/>
      <c r="BD5" s="1890"/>
      <c r="BE5" s="1890"/>
      <c r="BF5" s="1871" t="s">
        <v>2472</v>
      </c>
      <c r="BG5" s="1871" t="s">
        <v>2473</v>
      </c>
      <c r="BH5" s="1871" t="s">
        <v>2484</v>
      </c>
      <c r="BI5" s="1894" t="s">
        <v>1128</v>
      </c>
      <c r="BJ5" s="1871" t="s">
        <v>2485</v>
      </c>
      <c r="BK5" s="1872" t="s">
        <v>2486</v>
      </c>
      <c r="BL5" s="1872"/>
      <c r="BM5" s="1871" t="s">
        <v>2487</v>
      </c>
      <c r="BN5" s="1871" t="s">
        <v>2488</v>
      </c>
      <c r="BO5" s="1871"/>
      <c r="BP5" s="1874" t="s">
        <v>2489</v>
      </c>
      <c r="BQ5" s="1874" t="s">
        <v>2490</v>
      </c>
      <c r="BR5" s="1871" t="s">
        <v>2491</v>
      </c>
      <c r="BS5" s="1871"/>
      <c r="BT5" s="1883" t="s">
        <v>2492</v>
      </c>
      <c r="BU5" s="1883"/>
      <c r="BV5" s="1871"/>
    </row>
    <row r="6" spans="1:74" s="1126" customFormat="1" ht="50.25" customHeight="1">
      <c r="A6" s="1878"/>
      <c r="B6" s="1879"/>
      <c r="C6" s="1872"/>
      <c r="D6" s="1872"/>
      <c r="E6" s="1872"/>
      <c r="F6" s="1872"/>
      <c r="G6" s="1872"/>
      <c r="H6" s="1872"/>
      <c r="I6" s="1872"/>
      <c r="J6" s="1872"/>
      <c r="K6" s="1875" t="s">
        <v>2493</v>
      </c>
      <c r="L6" s="1875"/>
      <c r="M6" s="1875" t="s">
        <v>2497</v>
      </c>
      <c r="N6" s="1875"/>
      <c r="O6" s="1875" t="s">
        <v>2495</v>
      </c>
      <c r="P6" s="1875"/>
      <c r="Q6" s="1875" t="s">
        <v>2494</v>
      </c>
      <c r="R6" s="1875"/>
      <c r="S6" s="1875" t="s">
        <v>2496</v>
      </c>
      <c r="T6" s="1875"/>
      <c r="U6" s="1875" t="s">
        <v>2494</v>
      </c>
      <c r="V6" s="1875"/>
      <c r="W6" s="1873"/>
      <c r="X6" s="1873"/>
      <c r="Y6" s="1891"/>
      <c r="Z6" s="1878"/>
      <c r="AA6" s="1879"/>
      <c r="AB6" s="1875" t="s">
        <v>2496</v>
      </c>
      <c r="AC6" s="1875"/>
      <c r="AD6" s="1875" t="s">
        <v>2494</v>
      </c>
      <c r="AE6" s="1875"/>
      <c r="AF6" s="1875" t="s">
        <v>2496</v>
      </c>
      <c r="AG6" s="1875"/>
      <c r="AH6" s="1875" t="s">
        <v>2494</v>
      </c>
      <c r="AI6" s="1875"/>
      <c r="AJ6" s="1875" t="s">
        <v>2496</v>
      </c>
      <c r="AK6" s="1875"/>
      <c r="AL6" s="1875" t="s">
        <v>2497</v>
      </c>
      <c r="AM6" s="1875"/>
      <c r="AN6" s="1872"/>
      <c r="AO6" s="1872"/>
      <c r="AP6" s="1875" t="s">
        <v>2496</v>
      </c>
      <c r="AQ6" s="1875"/>
      <c r="AR6" s="1875" t="s">
        <v>2494</v>
      </c>
      <c r="AS6" s="1875"/>
      <c r="AT6" s="1872" t="s">
        <v>2498</v>
      </c>
      <c r="AU6" s="1872"/>
      <c r="AV6" s="1872" t="s">
        <v>2499</v>
      </c>
      <c r="AW6" s="1872"/>
      <c r="AX6" s="1878"/>
      <c r="AY6" s="1879"/>
      <c r="AZ6" s="1872" t="s">
        <v>2500</v>
      </c>
      <c r="BA6" s="1872"/>
      <c r="BB6" s="1872" t="s">
        <v>1128</v>
      </c>
      <c r="BC6" s="1872"/>
      <c r="BD6" s="1890"/>
      <c r="BE6" s="1890"/>
      <c r="BF6" s="1871"/>
      <c r="BG6" s="1871"/>
      <c r="BH6" s="1871"/>
      <c r="BI6" s="1895"/>
      <c r="BJ6" s="1871"/>
      <c r="BK6" s="1872"/>
      <c r="BL6" s="1872"/>
      <c r="BM6" s="1871"/>
      <c r="BN6" s="1871"/>
      <c r="BO6" s="1871"/>
      <c r="BP6" s="1874"/>
      <c r="BQ6" s="1874"/>
      <c r="BR6" s="1871"/>
      <c r="BS6" s="1871"/>
      <c r="BT6" s="1883"/>
      <c r="BU6" s="1883"/>
      <c r="BV6" s="1871"/>
    </row>
    <row r="7" spans="1:74" s="1129" customFormat="1" ht="38.25" customHeight="1">
      <c r="A7" s="1878"/>
      <c r="B7" s="1879"/>
      <c r="C7" s="1127" t="s">
        <v>2501</v>
      </c>
      <c r="D7" s="1127" t="s">
        <v>2502</v>
      </c>
      <c r="E7" s="1127" t="s">
        <v>2503</v>
      </c>
      <c r="F7" s="1127" t="s">
        <v>2504</v>
      </c>
      <c r="G7" s="1127" t="s">
        <v>2505</v>
      </c>
      <c r="H7" s="1127" t="s">
        <v>2504</v>
      </c>
      <c r="I7" s="1127" t="s">
        <v>2505</v>
      </c>
      <c r="J7" s="1127" t="s">
        <v>2504</v>
      </c>
      <c r="K7" s="1127" t="s">
        <v>2503</v>
      </c>
      <c r="L7" s="1127" t="s">
        <v>2504</v>
      </c>
      <c r="M7" s="1127" t="s">
        <v>2505</v>
      </c>
      <c r="N7" s="1128" t="s">
        <v>2504</v>
      </c>
      <c r="O7" s="1127" t="s">
        <v>2503</v>
      </c>
      <c r="P7" s="1128" t="s">
        <v>2504</v>
      </c>
      <c r="Q7" s="1127" t="s">
        <v>2503</v>
      </c>
      <c r="R7" s="1128" t="s">
        <v>2504</v>
      </c>
      <c r="S7" s="1127" t="s">
        <v>2503</v>
      </c>
      <c r="T7" s="1128" t="s">
        <v>2504</v>
      </c>
      <c r="U7" s="1127" t="s">
        <v>2503</v>
      </c>
      <c r="V7" s="1128" t="s">
        <v>2504</v>
      </c>
      <c r="W7" s="1127" t="s">
        <v>2505</v>
      </c>
      <c r="X7" s="1128" t="s">
        <v>2504</v>
      </c>
      <c r="Y7" s="1127" t="s">
        <v>2504</v>
      </c>
      <c r="Z7" s="1878"/>
      <c r="AA7" s="1879"/>
      <c r="AB7" s="1127" t="s">
        <v>2503</v>
      </c>
      <c r="AC7" s="1127" t="s">
        <v>2504</v>
      </c>
      <c r="AD7" s="1127" t="s">
        <v>2528</v>
      </c>
      <c r="AE7" s="1128" t="s">
        <v>2504</v>
      </c>
      <c r="AF7" s="1127" t="s">
        <v>2503</v>
      </c>
      <c r="AG7" s="1128" t="s">
        <v>2504</v>
      </c>
      <c r="AH7" s="1127" t="s">
        <v>2503</v>
      </c>
      <c r="AI7" s="1128" t="s">
        <v>2504</v>
      </c>
      <c r="AJ7" s="1127" t="s">
        <v>2503</v>
      </c>
      <c r="AK7" s="1128" t="s">
        <v>2504</v>
      </c>
      <c r="AL7" s="1127" t="s">
        <v>2503</v>
      </c>
      <c r="AM7" s="1127" t="s">
        <v>2504</v>
      </c>
      <c r="AN7" s="1127" t="s">
        <v>2503</v>
      </c>
      <c r="AO7" s="1127" t="s">
        <v>2504</v>
      </c>
      <c r="AP7" s="1127" t="s">
        <v>2505</v>
      </c>
      <c r="AQ7" s="1127" t="s">
        <v>2504</v>
      </c>
      <c r="AR7" s="1127" t="s">
        <v>2503</v>
      </c>
      <c r="AS7" s="1127" t="s">
        <v>2504</v>
      </c>
      <c r="AT7" s="1127" t="s">
        <v>2503</v>
      </c>
      <c r="AU7" s="1127" t="s">
        <v>2504</v>
      </c>
      <c r="AV7" s="1127" t="s">
        <v>2503</v>
      </c>
      <c r="AW7" s="1127" t="s">
        <v>2504</v>
      </c>
      <c r="AX7" s="1878"/>
      <c r="AY7" s="1879"/>
      <c r="AZ7" s="1127" t="s">
        <v>2505</v>
      </c>
      <c r="BA7" s="1128" t="s">
        <v>2504</v>
      </c>
      <c r="BB7" s="1127" t="s">
        <v>2503</v>
      </c>
      <c r="BC7" s="1128" t="s">
        <v>2504</v>
      </c>
      <c r="BD7" s="1127" t="s">
        <v>2503</v>
      </c>
      <c r="BE7" s="1127" t="s">
        <v>2504</v>
      </c>
      <c r="BF7" s="1127" t="s">
        <v>2602</v>
      </c>
      <c r="BG7" s="1127" t="s">
        <v>2602</v>
      </c>
      <c r="BH7" s="1127" t="s">
        <v>2506</v>
      </c>
      <c r="BI7" s="1127" t="s">
        <v>2506</v>
      </c>
      <c r="BJ7" s="1127" t="s">
        <v>2506</v>
      </c>
      <c r="BK7" s="1127" t="s">
        <v>2529</v>
      </c>
      <c r="BL7" s="1127" t="s">
        <v>2504</v>
      </c>
      <c r="BM7" s="1127" t="s">
        <v>2506</v>
      </c>
      <c r="BN7" s="1127" t="s">
        <v>2505</v>
      </c>
      <c r="BO7" s="1127" t="s">
        <v>2504</v>
      </c>
      <c r="BP7" s="1127" t="s">
        <v>2506</v>
      </c>
      <c r="BQ7" s="1127" t="s">
        <v>2506</v>
      </c>
      <c r="BR7" s="1127" t="s">
        <v>2505</v>
      </c>
      <c r="BS7" s="1127" t="s">
        <v>2504</v>
      </c>
      <c r="BT7" s="1127" t="s">
        <v>2506</v>
      </c>
      <c r="BU7" s="1127" t="s">
        <v>2506</v>
      </c>
      <c r="BV7" s="1127" t="s">
        <v>2506</v>
      </c>
    </row>
    <row r="8" spans="1:74" s="1132" customFormat="1" ht="15" customHeight="1">
      <c r="A8" s="1880"/>
      <c r="B8" s="1881"/>
      <c r="C8" s="1882">
        <v>1</v>
      </c>
      <c r="D8" s="1882"/>
      <c r="E8" s="1882">
        <v>2</v>
      </c>
      <c r="F8" s="1882"/>
      <c r="G8" s="1371" t="s">
        <v>2507</v>
      </c>
      <c r="H8" s="1371"/>
      <c r="I8" s="1882">
        <v>4</v>
      </c>
      <c r="J8" s="1882"/>
      <c r="K8" s="1882">
        <v>5</v>
      </c>
      <c r="L8" s="1882"/>
      <c r="M8" s="1882">
        <v>6</v>
      </c>
      <c r="N8" s="1882"/>
      <c r="O8" s="1882">
        <v>7</v>
      </c>
      <c r="P8" s="1882"/>
      <c r="Q8" s="1882">
        <v>8</v>
      </c>
      <c r="R8" s="1882"/>
      <c r="S8" s="1882">
        <v>9</v>
      </c>
      <c r="T8" s="1882"/>
      <c r="U8" s="1882">
        <v>10</v>
      </c>
      <c r="V8" s="1882"/>
      <c r="W8" s="1882" t="s">
        <v>2508</v>
      </c>
      <c r="X8" s="1882"/>
      <c r="Y8" s="1130">
        <v>12</v>
      </c>
      <c r="Z8" s="1880"/>
      <c r="AA8" s="1881"/>
      <c r="AB8" s="1882">
        <v>13</v>
      </c>
      <c r="AC8" s="1882"/>
      <c r="AD8" s="1882">
        <v>14</v>
      </c>
      <c r="AE8" s="1882"/>
      <c r="AF8" s="1902">
        <v>15</v>
      </c>
      <c r="AG8" s="1903"/>
      <c r="AH8" s="1882">
        <v>16</v>
      </c>
      <c r="AI8" s="1882"/>
      <c r="AJ8" s="1902">
        <v>17</v>
      </c>
      <c r="AK8" s="1903"/>
      <c r="AL8" s="1882">
        <v>18</v>
      </c>
      <c r="AM8" s="1882"/>
      <c r="AN8" s="1882" t="s">
        <v>2509</v>
      </c>
      <c r="AO8" s="1882"/>
      <c r="AP8" s="1882">
        <v>20</v>
      </c>
      <c r="AQ8" s="1882"/>
      <c r="AR8" s="1882">
        <v>21</v>
      </c>
      <c r="AS8" s="1882"/>
      <c r="AT8" s="1882">
        <v>22</v>
      </c>
      <c r="AU8" s="1882"/>
      <c r="AV8" s="1882">
        <v>23</v>
      </c>
      <c r="AW8" s="1882"/>
      <c r="AX8" s="1880"/>
      <c r="AY8" s="1881"/>
      <c r="AZ8" s="1882">
        <v>24</v>
      </c>
      <c r="BA8" s="1882"/>
      <c r="BB8" s="1900" t="s">
        <v>2510</v>
      </c>
      <c r="BC8" s="1901"/>
      <c r="BD8" s="1900" t="s">
        <v>2511</v>
      </c>
      <c r="BE8" s="1901"/>
      <c r="BF8" s="1130">
        <v>27</v>
      </c>
      <c r="BG8" s="1130">
        <v>28</v>
      </c>
      <c r="BH8" s="1211">
        <v>29</v>
      </c>
      <c r="BI8" s="1131" t="s">
        <v>2601</v>
      </c>
      <c r="BJ8" s="1130">
        <v>31</v>
      </c>
      <c r="BK8" s="1130">
        <v>32</v>
      </c>
      <c r="BL8" s="1130">
        <v>33</v>
      </c>
      <c r="BM8" s="1130">
        <v>34</v>
      </c>
      <c r="BN8" s="1882">
        <v>35</v>
      </c>
      <c r="BO8" s="1882"/>
      <c r="BP8" s="1130">
        <v>36</v>
      </c>
      <c r="BQ8" s="1130">
        <v>37</v>
      </c>
      <c r="BR8" s="1882">
        <v>38</v>
      </c>
      <c r="BS8" s="1882"/>
      <c r="BT8" s="1130">
        <v>39</v>
      </c>
      <c r="BU8" s="1130">
        <v>40</v>
      </c>
      <c r="BV8" s="1130">
        <v>41</v>
      </c>
    </row>
    <row r="9" spans="1:74" s="1139" customFormat="1" ht="10.35" customHeight="1">
      <c r="A9" s="1892" t="s">
        <v>2608</v>
      </c>
      <c r="B9" s="1893"/>
      <c r="C9" s="1187"/>
      <c r="D9" s="1188"/>
      <c r="E9" s="1187"/>
      <c r="F9" s="1188"/>
      <c r="G9" s="1187"/>
      <c r="H9" s="1188"/>
      <c r="I9" s="1187"/>
      <c r="J9" s="1188"/>
      <c r="K9" s="1187"/>
      <c r="L9" s="1188"/>
      <c r="M9" s="1187"/>
      <c r="N9" s="1188"/>
      <c r="O9" s="1187"/>
      <c r="P9" s="1188"/>
      <c r="Q9" s="1187"/>
      <c r="R9" s="1188"/>
      <c r="S9" s="1187"/>
      <c r="T9" s="1188"/>
      <c r="U9" s="1187"/>
      <c r="V9" s="1188"/>
      <c r="W9" s="1187"/>
      <c r="X9" s="1188"/>
      <c r="Y9" s="1188"/>
      <c r="Z9" s="1892" t="s">
        <v>2608</v>
      </c>
      <c r="AA9" s="1893"/>
      <c r="AB9" s="1187"/>
      <c r="AC9" s="1188"/>
      <c r="AD9" s="1187"/>
      <c r="AE9" s="1188"/>
      <c r="AF9" s="1187"/>
      <c r="AG9" s="1188"/>
      <c r="AH9" s="1187"/>
      <c r="AI9" s="1188"/>
      <c r="AJ9" s="1187"/>
      <c r="AK9" s="1188"/>
      <c r="AL9" s="1187"/>
      <c r="AM9" s="1188"/>
      <c r="AN9" s="1187"/>
      <c r="AO9" s="1188"/>
      <c r="AP9" s="1187"/>
      <c r="AQ9" s="1212"/>
      <c r="AR9" s="1187"/>
      <c r="AS9" s="1188"/>
      <c r="AT9" s="1187"/>
      <c r="AU9" s="1188"/>
      <c r="AV9" s="1187"/>
      <c r="AW9" s="1188"/>
      <c r="AX9" s="1892" t="s">
        <v>2608</v>
      </c>
      <c r="AY9" s="1893"/>
      <c r="AZ9" s="1187"/>
      <c r="BA9" s="1188"/>
      <c r="BB9" s="1187"/>
      <c r="BC9" s="1188"/>
      <c r="BD9" s="1187"/>
      <c r="BE9" s="1188"/>
      <c r="BF9" s="1187"/>
      <c r="BG9" s="1187"/>
      <c r="BH9" s="1187"/>
      <c r="BI9" s="1187"/>
      <c r="BJ9" s="1187"/>
      <c r="BK9" s="1187"/>
      <c r="BL9" s="1188"/>
      <c r="BM9" s="1187"/>
      <c r="BN9" s="1187"/>
      <c r="BO9" s="1188"/>
      <c r="BP9" s="1187"/>
      <c r="BQ9" s="1187"/>
      <c r="BR9" s="1187"/>
      <c r="BS9" s="1188"/>
      <c r="BT9" s="1187"/>
      <c r="BU9" s="1187"/>
      <c r="BV9" s="1187"/>
    </row>
    <row r="10" spans="1:74" s="1139" customFormat="1" ht="10.35" customHeight="1">
      <c r="A10" s="1896" t="s">
        <v>2849</v>
      </c>
      <c r="B10" s="1134" t="s">
        <v>2515</v>
      </c>
      <c r="C10" s="1270">
        <v>1073691</v>
      </c>
      <c r="D10" s="1271">
        <v>88327.22</v>
      </c>
      <c r="E10" s="1270">
        <v>1078</v>
      </c>
      <c r="F10" s="1271">
        <v>154.83999999999997</v>
      </c>
      <c r="G10" s="1270">
        <v>1074769</v>
      </c>
      <c r="H10" s="1271">
        <v>88482.06</v>
      </c>
      <c r="I10" s="1270">
        <v>67866</v>
      </c>
      <c r="J10" s="1271">
        <v>568.98</v>
      </c>
      <c r="K10" s="1270">
        <v>8269</v>
      </c>
      <c r="L10" s="1271">
        <v>6.6199999999999992</v>
      </c>
      <c r="M10" s="1270">
        <v>5</v>
      </c>
      <c r="N10" s="1271">
        <v>0.01</v>
      </c>
      <c r="O10" s="1270">
        <v>1867</v>
      </c>
      <c r="P10" s="1271">
        <v>0.58000000000000007</v>
      </c>
      <c r="Q10" s="1270">
        <v>8</v>
      </c>
      <c r="R10" s="1271">
        <v>0.01</v>
      </c>
      <c r="S10" s="1270">
        <v>0</v>
      </c>
      <c r="T10" s="1271">
        <v>0</v>
      </c>
      <c r="U10" s="1270">
        <v>0</v>
      </c>
      <c r="V10" s="1271">
        <v>0</v>
      </c>
      <c r="W10" s="1270">
        <v>10149</v>
      </c>
      <c r="X10" s="1271">
        <v>7.2000000000000011</v>
      </c>
      <c r="Y10" s="1271">
        <v>6.17</v>
      </c>
      <c r="Z10" s="1896" t="s">
        <v>2849</v>
      </c>
      <c r="AA10" s="1134" t="s">
        <v>2515</v>
      </c>
      <c r="AB10" s="1272">
        <v>372804</v>
      </c>
      <c r="AC10" s="1273">
        <v>352.49</v>
      </c>
      <c r="AD10" s="1272">
        <v>0</v>
      </c>
      <c r="AE10" s="1273">
        <v>0</v>
      </c>
      <c r="AF10" s="1272">
        <v>3408</v>
      </c>
      <c r="AG10" s="1273">
        <v>0.99</v>
      </c>
      <c r="AH10" s="1272">
        <v>0</v>
      </c>
      <c r="AI10" s="1273">
        <v>0</v>
      </c>
      <c r="AJ10" s="1272">
        <v>0</v>
      </c>
      <c r="AK10" s="1273">
        <v>0</v>
      </c>
      <c r="AL10" s="1272">
        <v>0</v>
      </c>
      <c r="AM10" s="1273">
        <v>0</v>
      </c>
      <c r="AN10" s="1272">
        <v>376212</v>
      </c>
      <c r="AO10" s="1273">
        <v>353.48</v>
      </c>
      <c r="AP10" s="1272">
        <v>105</v>
      </c>
      <c r="AQ10" s="1274">
        <v>0</v>
      </c>
      <c r="AR10" s="1272">
        <v>0</v>
      </c>
      <c r="AS10" s="1273">
        <v>0</v>
      </c>
      <c r="AT10" s="1272">
        <v>0</v>
      </c>
      <c r="AU10" s="1273">
        <v>0</v>
      </c>
      <c r="AV10" s="1272">
        <v>0</v>
      </c>
      <c r="AW10" s="1273">
        <v>0</v>
      </c>
      <c r="AX10" s="1896" t="s">
        <v>2849</v>
      </c>
      <c r="AY10" s="1134" t="s">
        <v>2515</v>
      </c>
      <c r="AZ10" s="1270">
        <v>0</v>
      </c>
      <c r="BA10" s="1271">
        <v>0</v>
      </c>
      <c r="BB10" s="1270">
        <v>0</v>
      </c>
      <c r="BC10" s="1271">
        <v>0</v>
      </c>
      <c r="BD10" s="1270">
        <v>386466</v>
      </c>
      <c r="BE10" s="1271">
        <v>360.69</v>
      </c>
      <c r="BF10" s="1270">
        <v>2028</v>
      </c>
      <c r="BG10" s="1270">
        <v>96277</v>
      </c>
      <c r="BH10" s="1270">
        <v>2641</v>
      </c>
      <c r="BI10" s="1270">
        <v>100946</v>
      </c>
      <c r="BJ10" s="1270">
        <v>0</v>
      </c>
      <c r="BK10" s="1270">
        <v>0</v>
      </c>
      <c r="BL10" s="1271">
        <v>0</v>
      </c>
      <c r="BM10" s="1270">
        <v>0</v>
      </c>
      <c r="BN10" s="1270">
        <v>0</v>
      </c>
      <c r="BO10" s="1271">
        <v>0</v>
      </c>
      <c r="BP10" s="1270">
        <v>0</v>
      </c>
      <c r="BQ10" s="1270">
        <v>0</v>
      </c>
      <c r="BR10" s="1270">
        <v>0</v>
      </c>
      <c r="BS10" s="1271">
        <v>0</v>
      </c>
      <c r="BT10" s="1270">
        <v>0</v>
      </c>
      <c r="BU10" s="1270">
        <v>206</v>
      </c>
      <c r="BV10" s="1275">
        <v>0</v>
      </c>
    </row>
    <row r="11" spans="1:74" s="317" customFormat="1" ht="9" customHeight="1">
      <c r="A11" s="1897"/>
      <c r="B11" s="1136" t="s">
        <v>2516</v>
      </c>
      <c r="C11" s="1276">
        <v>53615</v>
      </c>
      <c r="D11" s="1277">
        <v>3481.0299999999997</v>
      </c>
      <c r="E11" s="1276">
        <v>1038</v>
      </c>
      <c r="F11" s="1277">
        <v>21.09</v>
      </c>
      <c r="G11" s="1276">
        <v>54653</v>
      </c>
      <c r="H11" s="1277">
        <v>3502.1299999999997</v>
      </c>
      <c r="I11" s="1276">
        <v>293</v>
      </c>
      <c r="J11" s="1277">
        <v>79.179999999999993</v>
      </c>
      <c r="K11" s="1276">
        <v>0</v>
      </c>
      <c r="L11" s="1277">
        <v>0</v>
      </c>
      <c r="M11" s="1276">
        <v>0</v>
      </c>
      <c r="N11" s="1277">
        <v>0</v>
      </c>
      <c r="O11" s="1276">
        <v>0</v>
      </c>
      <c r="P11" s="1277">
        <v>0</v>
      </c>
      <c r="Q11" s="1276">
        <v>0</v>
      </c>
      <c r="R11" s="1277">
        <v>0</v>
      </c>
      <c r="S11" s="1276">
        <v>0</v>
      </c>
      <c r="T11" s="1277">
        <v>0</v>
      </c>
      <c r="U11" s="1276">
        <v>0</v>
      </c>
      <c r="V11" s="1277">
        <v>0</v>
      </c>
      <c r="W11" s="1276">
        <v>0</v>
      </c>
      <c r="X11" s="1277">
        <v>0</v>
      </c>
      <c r="Y11" s="1277">
        <v>0</v>
      </c>
      <c r="Z11" s="1897"/>
      <c r="AA11" s="1136" t="s">
        <v>2516</v>
      </c>
      <c r="AB11" s="682">
        <v>10806</v>
      </c>
      <c r="AC11" s="1278">
        <v>7.9</v>
      </c>
      <c r="AD11" s="682">
        <v>0</v>
      </c>
      <c r="AE11" s="1278">
        <v>0</v>
      </c>
      <c r="AF11" s="682">
        <v>133</v>
      </c>
      <c r="AG11" s="1278">
        <v>7.0000000000000007E-2</v>
      </c>
      <c r="AH11" s="682">
        <v>0</v>
      </c>
      <c r="AI11" s="1278">
        <v>0</v>
      </c>
      <c r="AJ11" s="682">
        <v>0</v>
      </c>
      <c r="AK11" s="1278">
        <v>0</v>
      </c>
      <c r="AL11" s="682">
        <v>0</v>
      </c>
      <c r="AM11" s="1278">
        <v>0</v>
      </c>
      <c r="AN11" s="682">
        <v>10939</v>
      </c>
      <c r="AO11" s="1278">
        <v>7.9700000000000006</v>
      </c>
      <c r="AP11" s="682">
        <v>0</v>
      </c>
      <c r="AQ11" s="1279">
        <v>0</v>
      </c>
      <c r="AR11" s="682">
        <v>0</v>
      </c>
      <c r="AS11" s="1278">
        <v>0</v>
      </c>
      <c r="AT11" s="682">
        <v>0</v>
      </c>
      <c r="AU11" s="1278">
        <v>0</v>
      </c>
      <c r="AV11" s="682">
        <v>0</v>
      </c>
      <c r="AW11" s="1278">
        <v>0</v>
      </c>
      <c r="AX11" s="1897"/>
      <c r="AY11" s="1136" t="s">
        <v>2516</v>
      </c>
      <c r="AZ11" s="1276">
        <v>0</v>
      </c>
      <c r="BA11" s="1277">
        <v>0</v>
      </c>
      <c r="BB11" s="1276">
        <v>0</v>
      </c>
      <c r="BC11" s="1277">
        <v>0</v>
      </c>
      <c r="BD11" s="1276">
        <v>10939</v>
      </c>
      <c r="BE11" s="1277">
        <v>1</v>
      </c>
      <c r="BF11" s="1276">
        <v>0</v>
      </c>
      <c r="BG11" s="1276">
        <v>3290</v>
      </c>
      <c r="BH11" s="1276">
        <v>0</v>
      </c>
      <c r="BI11" s="1276">
        <v>3290</v>
      </c>
      <c r="BJ11" s="1276">
        <v>0</v>
      </c>
      <c r="BK11" s="1276">
        <v>0</v>
      </c>
      <c r="BL11" s="1277">
        <v>0</v>
      </c>
      <c r="BM11" s="1276">
        <v>0</v>
      </c>
      <c r="BN11" s="1276">
        <v>0</v>
      </c>
      <c r="BO11" s="1277">
        <v>0</v>
      </c>
      <c r="BP11" s="1276">
        <v>0</v>
      </c>
      <c r="BQ11" s="1276">
        <v>0</v>
      </c>
      <c r="BR11" s="1276">
        <v>0</v>
      </c>
      <c r="BS11" s="1277">
        <v>0</v>
      </c>
      <c r="BT11" s="1276">
        <v>0</v>
      </c>
      <c r="BU11" s="1276">
        <v>5</v>
      </c>
      <c r="BV11" s="1280">
        <v>0</v>
      </c>
    </row>
    <row r="12" spans="1:74" s="1139" customFormat="1" ht="10.35" customHeight="1">
      <c r="A12" s="1897"/>
      <c r="B12" s="1137" t="s">
        <v>2517</v>
      </c>
      <c r="C12" s="1281">
        <v>3970026</v>
      </c>
      <c r="D12" s="1282">
        <v>285324.87</v>
      </c>
      <c r="E12" s="1281">
        <v>7232</v>
      </c>
      <c r="F12" s="1282">
        <v>124.84</v>
      </c>
      <c r="G12" s="1281">
        <v>3977258</v>
      </c>
      <c r="H12" s="1282">
        <v>285449.69999999995</v>
      </c>
      <c r="I12" s="1281">
        <v>2183918</v>
      </c>
      <c r="J12" s="1282">
        <v>15081.73</v>
      </c>
      <c r="K12" s="1281">
        <v>242509</v>
      </c>
      <c r="L12" s="1282">
        <v>154.19999999999999</v>
      </c>
      <c r="M12" s="1281">
        <v>7744</v>
      </c>
      <c r="N12" s="1282">
        <v>12.520000000000003</v>
      </c>
      <c r="O12" s="1281">
        <v>1572912</v>
      </c>
      <c r="P12" s="1282">
        <v>1004.0199999999999</v>
      </c>
      <c r="Q12" s="1281">
        <v>215248</v>
      </c>
      <c r="R12" s="1282">
        <v>267.48</v>
      </c>
      <c r="S12" s="1281">
        <v>84998</v>
      </c>
      <c r="T12" s="1282">
        <v>9.389999999999997</v>
      </c>
      <c r="U12" s="1281">
        <v>49139</v>
      </c>
      <c r="V12" s="1282">
        <v>48.870000000000005</v>
      </c>
      <c r="W12" s="1281">
        <v>2172550</v>
      </c>
      <c r="X12" s="1282">
        <v>1496.53</v>
      </c>
      <c r="Y12" s="1282">
        <v>5083.59</v>
      </c>
      <c r="Z12" s="1897"/>
      <c r="AA12" s="1137" t="s">
        <v>2517</v>
      </c>
      <c r="AB12" s="1283">
        <v>36411889</v>
      </c>
      <c r="AC12" s="1284">
        <v>24898.050000000003</v>
      </c>
      <c r="AD12" s="1283">
        <v>1006</v>
      </c>
      <c r="AE12" s="1284">
        <v>1.95</v>
      </c>
      <c r="AF12" s="1283">
        <v>1376882</v>
      </c>
      <c r="AG12" s="1284">
        <v>1528.6200000000001</v>
      </c>
      <c r="AH12" s="1283">
        <v>4119</v>
      </c>
      <c r="AI12" s="1284">
        <v>8.16</v>
      </c>
      <c r="AJ12" s="1283">
        <v>125187</v>
      </c>
      <c r="AK12" s="1284">
        <v>21.75</v>
      </c>
      <c r="AL12" s="1283">
        <v>1096</v>
      </c>
      <c r="AM12" s="1284">
        <v>1.04</v>
      </c>
      <c r="AN12" s="1283">
        <v>37920179</v>
      </c>
      <c r="AO12" s="1284">
        <v>26459.67</v>
      </c>
      <c r="AP12" s="1283">
        <v>141887</v>
      </c>
      <c r="AQ12" s="1285">
        <v>91.970000000000013</v>
      </c>
      <c r="AR12" s="1283">
        <v>21112</v>
      </c>
      <c r="AS12" s="1284">
        <v>10.549999999999999</v>
      </c>
      <c r="AT12" s="1283">
        <v>59650</v>
      </c>
      <c r="AU12" s="1284">
        <v>122.96000000000002</v>
      </c>
      <c r="AV12" s="1283">
        <v>250806</v>
      </c>
      <c r="AW12" s="1284">
        <v>268.40999999999997</v>
      </c>
      <c r="AX12" s="1897"/>
      <c r="AY12" s="1137" t="s">
        <v>2517</v>
      </c>
      <c r="AZ12" s="1281">
        <v>68023</v>
      </c>
      <c r="BA12" s="1282">
        <v>12.930000000000001</v>
      </c>
      <c r="BB12" s="1281">
        <v>378479</v>
      </c>
      <c r="BC12" s="1282">
        <v>404.29000000000008</v>
      </c>
      <c r="BD12" s="1281">
        <v>40630088</v>
      </c>
      <c r="BE12" s="1282">
        <v>28454.709999999992</v>
      </c>
      <c r="BF12" s="1281">
        <v>659075</v>
      </c>
      <c r="BG12" s="1281">
        <v>8363234</v>
      </c>
      <c r="BH12" s="1281">
        <v>140020</v>
      </c>
      <c r="BI12" s="1281">
        <v>9162329</v>
      </c>
      <c r="BJ12" s="1281">
        <v>1250819</v>
      </c>
      <c r="BK12" s="1281">
        <v>1504898</v>
      </c>
      <c r="BL12" s="1282">
        <v>2385.7900000000004</v>
      </c>
      <c r="BM12" s="1281">
        <v>603016</v>
      </c>
      <c r="BN12" s="1281">
        <v>354519511</v>
      </c>
      <c r="BO12" s="1282">
        <v>51217.69</v>
      </c>
      <c r="BP12" s="1281">
        <v>34808873</v>
      </c>
      <c r="BQ12" s="1281">
        <v>300</v>
      </c>
      <c r="BR12" s="1281">
        <v>604616</v>
      </c>
      <c r="BS12" s="1282">
        <v>881.22</v>
      </c>
      <c r="BT12" s="1281">
        <v>167111</v>
      </c>
      <c r="BU12" s="1281">
        <v>7806</v>
      </c>
      <c r="BV12" s="1286">
        <v>30281</v>
      </c>
    </row>
    <row r="13" spans="1:74" s="1139" customFormat="1" ht="10.35" customHeight="1">
      <c r="A13" s="1897"/>
      <c r="B13" s="1138" t="s">
        <v>2541</v>
      </c>
      <c r="C13" s="1287">
        <v>498870</v>
      </c>
      <c r="D13" s="1288">
        <v>35677.74</v>
      </c>
      <c r="E13" s="1287">
        <v>16</v>
      </c>
      <c r="F13" s="1288">
        <v>0.25</v>
      </c>
      <c r="G13" s="1287">
        <v>498886</v>
      </c>
      <c r="H13" s="1288">
        <v>35677.99</v>
      </c>
      <c r="I13" s="1287">
        <v>698966</v>
      </c>
      <c r="J13" s="1288">
        <v>6761.01</v>
      </c>
      <c r="K13" s="1287">
        <v>22977</v>
      </c>
      <c r="L13" s="1288">
        <v>18.82</v>
      </c>
      <c r="M13" s="1287">
        <v>236</v>
      </c>
      <c r="N13" s="1288">
        <v>0.28999999999999998</v>
      </c>
      <c r="O13" s="1287">
        <v>496034</v>
      </c>
      <c r="P13" s="1288">
        <v>231.68</v>
      </c>
      <c r="Q13" s="1287">
        <v>11232</v>
      </c>
      <c r="R13" s="1288">
        <v>12.79</v>
      </c>
      <c r="S13" s="1287">
        <v>35985</v>
      </c>
      <c r="T13" s="1288">
        <v>5.93</v>
      </c>
      <c r="U13" s="1287">
        <v>2692</v>
      </c>
      <c r="V13" s="1288">
        <v>2.4899999999999998</v>
      </c>
      <c r="W13" s="1287">
        <v>569156</v>
      </c>
      <c r="X13" s="1288">
        <v>271.96000000000004</v>
      </c>
      <c r="Y13" s="1288">
        <v>634.64</v>
      </c>
      <c r="Z13" s="1897"/>
      <c r="AA13" s="1138" t="s">
        <v>2541</v>
      </c>
      <c r="AB13" s="1289">
        <v>1668675</v>
      </c>
      <c r="AC13" s="1290">
        <v>1860.27</v>
      </c>
      <c r="AD13" s="1289">
        <v>2805</v>
      </c>
      <c r="AE13" s="1290">
        <v>6.8100000000000005</v>
      </c>
      <c r="AF13" s="1289">
        <v>259995</v>
      </c>
      <c r="AG13" s="1290">
        <v>88.53</v>
      </c>
      <c r="AH13" s="1289">
        <v>5218</v>
      </c>
      <c r="AI13" s="1290">
        <v>8.2199999999999989</v>
      </c>
      <c r="AJ13" s="1289">
        <v>22771</v>
      </c>
      <c r="AK13" s="1290">
        <v>1.5</v>
      </c>
      <c r="AL13" s="1289">
        <v>3414</v>
      </c>
      <c r="AM13" s="1290">
        <v>4.09</v>
      </c>
      <c r="AN13" s="1289">
        <v>1962878</v>
      </c>
      <c r="AO13" s="1290">
        <v>1969.38</v>
      </c>
      <c r="AP13" s="1289">
        <v>0</v>
      </c>
      <c r="AQ13" s="1291">
        <v>0</v>
      </c>
      <c r="AR13" s="1289">
        <v>4131</v>
      </c>
      <c r="AS13" s="1290">
        <v>2.56</v>
      </c>
      <c r="AT13" s="1289">
        <v>46376</v>
      </c>
      <c r="AU13" s="1290">
        <v>101.91</v>
      </c>
      <c r="AV13" s="1289">
        <v>0</v>
      </c>
      <c r="AW13" s="1290">
        <v>0</v>
      </c>
      <c r="AX13" s="1897"/>
      <c r="AY13" s="1138" t="s">
        <v>2541</v>
      </c>
      <c r="AZ13" s="1287">
        <v>0</v>
      </c>
      <c r="BA13" s="1288">
        <v>0</v>
      </c>
      <c r="BB13" s="1287">
        <v>46376</v>
      </c>
      <c r="BC13" s="1288">
        <v>101.91</v>
      </c>
      <c r="BD13" s="1287">
        <v>2577323</v>
      </c>
      <c r="BE13" s="1288">
        <v>2337.6200000000003</v>
      </c>
      <c r="BF13" s="1287">
        <v>89645</v>
      </c>
      <c r="BG13" s="1287">
        <v>292973</v>
      </c>
      <c r="BH13" s="1287">
        <v>11618</v>
      </c>
      <c r="BI13" s="1287">
        <v>394236</v>
      </c>
      <c r="BJ13" s="1287">
        <v>134443</v>
      </c>
      <c r="BK13" s="1287">
        <v>455703</v>
      </c>
      <c r="BL13" s="1288">
        <v>4432.1399999999994</v>
      </c>
      <c r="BM13" s="1287">
        <v>0</v>
      </c>
      <c r="BN13" s="1287">
        <v>0</v>
      </c>
      <c r="BO13" s="1288">
        <v>0</v>
      </c>
      <c r="BP13" s="1287">
        <v>0</v>
      </c>
      <c r="BQ13" s="1287">
        <v>0</v>
      </c>
      <c r="BR13" s="1287">
        <v>0</v>
      </c>
      <c r="BS13" s="1288">
        <v>0</v>
      </c>
      <c r="BT13" s="1287">
        <v>0</v>
      </c>
      <c r="BU13" s="1287">
        <v>167</v>
      </c>
      <c r="BV13" s="1292">
        <v>0</v>
      </c>
    </row>
    <row r="14" spans="1:74" s="1141" customFormat="1" ht="10.5" customHeight="1">
      <c r="A14" s="1898"/>
      <c r="B14" s="1140" t="s">
        <v>1128</v>
      </c>
      <c r="C14" s="1189">
        <v>5596202</v>
      </c>
      <c r="D14" s="1190">
        <v>412810.86</v>
      </c>
      <c r="E14" s="1189">
        <v>9364</v>
      </c>
      <c r="F14" s="1190">
        <v>301.02</v>
      </c>
      <c r="G14" s="1189">
        <v>5605566</v>
      </c>
      <c r="H14" s="1190">
        <v>413111.87999999995</v>
      </c>
      <c r="I14" s="1189">
        <v>2951043</v>
      </c>
      <c r="J14" s="1190">
        <v>22490.9</v>
      </c>
      <c r="K14" s="1189">
        <v>273755</v>
      </c>
      <c r="L14" s="1190">
        <v>179.64</v>
      </c>
      <c r="M14" s="1189">
        <v>7985</v>
      </c>
      <c r="N14" s="1190">
        <v>12.820000000000002</v>
      </c>
      <c r="O14" s="1189">
        <v>2070813</v>
      </c>
      <c r="P14" s="1190">
        <v>1236.28</v>
      </c>
      <c r="Q14" s="1189">
        <v>226488</v>
      </c>
      <c r="R14" s="1190">
        <v>280.28000000000003</v>
      </c>
      <c r="S14" s="1189">
        <v>120983</v>
      </c>
      <c r="T14" s="1190">
        <v>15.319999999999997</v>
      </c>
      <c r="U14" s="1189">
        <v>51831</v>
      </c>
      <c r="V14" s="1190">
        <v>51.360000000000007</v>
      </c>
      <c r="W14" s="1189">
        <v>2751855</v>
      </c>
      <c r="X14" s="1190">
        <v>1775.69</v>
      </c>
      <c r="Y14" s="1190">
        <v>5724.4000000000005</v>
      </c>
      <c r="Z14" s="1898"/>
      <c r="AA14" s="1140" t="s">
        <v>1128</v>
      </c>
      <c r="AB14" s="1189">
        <v>38464174</v>
      </c>
      <c r="AC14" s="1190">
        <v>27118.710000000003</v>
      </c>
      <c r="AD14" s="1189">
        <v>3811</v>
      </c>
      <c r="AE14" s="1190">
        <v>8.76</v>
      </c>
      <c r="AF14" s="1189">
        <v>1640418</v>
      </c>
      <c r="AG14" s="1190">
        <v>1618.21</v>
      </c>
      <c r="AH14" s="1189">
        <v>9337</v>
      </c>
      <c r="AI14" s="1190">
        <v>16.38</v>
      </c>
      <c r="AJ14" s="1189">
        <v>147958</v>
      </c>
      <c r="AK14" s="1190">
        <v>23.25</v>
      </c>
      <c r="AL14" s="1189">
        <v>4510</v>
      </c>
      <c r="AM14" s="1190">
        <v>5.13</v>
      </c>
      <c r="AN14" s="1189">
        <v>40270208</v>
      </c>
      <c r="AO14" s="1190">
        <v>28790.5</v>
      </c>
      <c r="AP14" s="1189">
        <v>141992</v>
      </c>
      <c r="AQ14" s="1213">
        <v>91.970000000000013</v>
      </c>
      <c r="AR14" s="1189">
        <v>25243</v>
      </c>
      <c r="AS14" s="1190">
        <v>13.11</v>
      </c>
      <c r="AT14" s="1189">
        <v>106026</v>
      </c>
      <c r="AU14" s="1190">
        <v>224.87</v>
      </c>
      <c r="AV14" s="1189">
        <v>250806</v>
      </c>
      <c r="AW14" s="1190">
        <v>268.40999999999997</v>
      </c>
      <c r="AX14" s="1898"/>
      <c r="AY14" s="1140" t="s">
        <v>1128</v>
      </c>
      <c r="AZ14" s="1189">
        <v>68023</v>
      </c>
      <c r="BA14" s="1190">
        <v>12.930000000000001</v>
      </c>
      <c r="BB14" s="1189">
        <v>424855</v>
      </c>
      <c r="BC14" s="1190">
        <v>506.20000000000005</v>
      </c>
      <c r="BD14" s="1189">
        <v>43604816</v>
      </c>
      <c r="BE14" s="1190">
        <v>31154.01999999999</v>
      </c>
      <c r="BF14" s="1189">
        <v>750748</v>
      </c>
      <c r="BG14" s="1189">
        <v>8755774</v>
      </c>
      <c r="BH14" s="1189">
        <v>154279</v>
      </c>
      <c r="BI14" s="1189">
        <v>9660801</v>
      </c>
      <c r="BJ14" s="1189">
        <v>1385262</v>
      </c>
      <c r="BK14" s="1189">
        <v>1965764</v>
      </c>
      <c r="BL14" s="1190">
        <v>6822.52</v>
      </c>
      <c r="BM14" s="1189">
        <v>603016</v>
      </c>
      <c r="BN14" s="1189">
        <v>354519511</v>
      </c>
      <c r="BO14" s="1190">
        <v>51217.69</v>
      </c>
      <c r="BP14" s="1189">
        <v>34808873</v>
      </c>
      <c r="BQ14" s="1189">
        <v>300</v>
      </c>
      <c r="BR14" s="1189">
        <v>604616</v>
      </c>
      <c r="BS14" s="1190">
        <v>881.22</v>
      </c>
      <c r="BT14" s="1189">
        <v>167111</v>
      </c>
      <c r="BU14" s="1189">
        <v>8184</v>
      </c>
      <c r="BV14" s="1191">
        <v>30281</v>
      </c>
    </row>
    <row r="15" spans="1:74" s="1139" customFormat="1" ht="10.35" customHeight="1">
      <c r="A15" s="1896" t="s">
        <v>2837</v>
      </c>
      <c r="B15" s="1134" t="s">
        <v>2515</v>
      </c>
      <c r="C15" s="1270">
        <v>1148778</v>
      </c>
      <c r="D15" s="1271">
        <v>104258.95</v>
      </c>
      <c r="E15" s="1270">
        <v>1271</v>
      </c>
      <c r="F15" s="1271">
        <v>171.68</v>
      </c>
      <c r="G15" s="1270">
        <v>1150049</v>
      </c>
      <c r="H15" s="1271">
        <v>104430.63</v>
      </c>
      <c r="I15" s="1270">
        <v>79216</v>
      </c>
      <c r="J15" s="1271">
        <v>651.27</v>
      </c>
      <c r="K15" s="1270">
        <v>9744</v>
      </c>
      <c r="L15" s="1271">
        <v>9.01</v>
      </c>
      <c r="M15" s="1270">
        <v>2</v>
      </c>
      <c r="N15" s="1271">
        <v>0</v>
      </c>
      <c r="O15" s="1270">
        <v>3346</v>
      </c>
      <c r="P15" s="1271">
        <v>1.75</v>
      </c>
      <c r="Q15" s="1270">
        <v>76</v>
      </c>
      <c r="R15" s="1271">
        <v>0.09</v>
      </c>
      <c r="S15" s="1270">
        <v>0</v>
      </c>
      <c r="T15" s="1271">
        <v>0</v>
      </c>
      <c r="U15" s="1270">
        <v>0</v>
      </c>
      <c r="V15" s="1271">
        <v>0</v>
      </c>
      <c r="W15" s="1270">
        <v>13168</v>
      </c>
      <c r="X15" s="1271">
        <v>10.850000000000001</v>
      </c>
      <c r="Y15" s="1271">
        <v>6.34</v>
      </c>
      <c r="Z15" s="1896" t="s">
        <v>2837</v>
      </c>
      <c r="AA15" s="1134" t="s">
        <v>2515</v>
      </c>
      <c r="AB15" s="1272">
        <v>444607</v>
      </c>
      <c r="AC15" s="1273">
        <v>430.70000000000005</v>
      </c>
      <c r="AD15" s="1272">
        <v>0</v>
      </c>
      <c r="AE15" s="1273">
        <v>0</v>
      </c>
      <c r="AF15" s="1272">
        <v>7422</v>
      </c>
      <c r="AG15" s="1273">
        <v>2.2599999999999998</v>
      </c>
      <c r="AH15" s="1272">
        <v>0</v>
      </c>
      <c r="AI15" s="1273">
        <v>0</v>
      </c>
      <c r="AJ15" s="1272">
        <v>0</v>
      </c>
      <c r="AK15" s="1273">
        <v>0</v>
      </c>
      <c r="AL15" s="1272">
        <v>0</v>
      </c>
      <c r="AM15" s="1273">
        <v>0</v>
      </c>
      <c r="AN15" s="1272">
        <v>452029</v>
      </c>
      <c r="AO15" s="1273">
        <v>432.95000000000005</v>
      </c>
      <c r="AP15" s="1272">
        <v>32</v>
      </c>
      <c r="AQ15" s="1274">
        <v>0</v>
      </c>
      <c r="AR15" s="1272">
        <v>0</v>
      </c>
      <c r="AS15" s="1273">
        <v>0</v>
      </c>
      <c r="AT15" s="1272">
        <v>20</v>
      </c>
      <c r="AU15" s="1273">
        <v>0.03</v>
      </c>
      <c r="AV15" s="1272">
        <v>0</v>
      </c>
      <c r="AW15" s="1273">
        <v>0</v>
      </c>
      <c r="AX15" s="1896" t="s">
        <v>2837</v>
      </c>
      <c r="AY15" s="1134" t="s">
        <v>2515</v>
      </c>
      <c r="AZ15" s="1270">
        <v>0</v>
      </c>
      <c r="BA15" s="1271">
        <v>0</v>
      </c>
      <c r="BB15" s="1270">
        <v>20</v>
      </c>
      <c r="BC15" s="1271">
        <v>0.03</v>
      </c>
      <c r="BD15" s="1270">
        <v>465249</v>
      </c>
      <c r="BE15" s="1271">
        <v>443.83</v>
      </c>
      <c r="BF15" s="1270">
        <v>2232</v>
      </c>
      <c r="BG15" s="1270">
        <v>108317</v>
      </c>
      <c r="BH15" s="1270">
        <v>2641</v>
      </c>
      <c r="BI15" s="1270">
        <v>113190</v>
      </c>
      <c r="BJ15" s="1270">
        <v>0</v>
      </c>
      <c r="BK15" s="1270">
        <v>0</v>
      </c>
      <c r="BL15" s="1271">
        <v>0</v>
      </c>
      <c r="BM15" s="1270">
        <v>4634</v>
      </c>
      <c r="BN15" s="1270">
        <v>41579</v>
      </c>
      <c r="BO15" s="1271">
        <v>8.81</v>
      </c>
      <c r="BP15" s="1270">
        <v>26133</v>
      </c>
      <c r="BQ15" s="1270">
        <v>0</v>
      </c>
      <c r="BR15" s="1270">
        <v>0</v>
      </c>
      <c r="BS15" s="1271">
        <v>0</v>
      </c>
      <c r="BT15" s="1270">
        <v>0</v>
      </c>
      <c r="BU15" s="1270">
        <v>208</v>
      </c>
      <c r="BV15" s="1275">
        <v>0</v>
      </c>
    </row>
    <row r="16" spans="1:74" s="317" customFormat="1" ht="10.35" customHeight="1">
      <c r="A16" s="1897"/>
      <c r="B16" s="1136" t="s">
        <v>2516</v>
      </c>
      <c r="C16" s="1276">
        <v>51095</v>
      </c>
      <c r="D16" s="1277">
        <v>3507.59</v>
      </c>
      <c r="E16" s="1276">
        <v>1215</v>
      </c>
      <c r="F16" s="1277">
        <v>33.31</v>
      </c>
      <c r="G16" s="1276">
        <v>52310</v>
      </c>
      <c r="H16" s="1277">
        <v>3540.9</v>
      </c>
      <c r="I16" s="1276">
        <v>215</v>
      </c>
      <c r="J16" s="1277">
        <v>44.480000000000004</v>
      </c>
      <c r="K16" s="1276">
        <v>0</v>
      </c>
      <c r="L16" s="1277">
        <v>0</v>
      </c>
      <c r="M16" s="1276">
        <v>0</v>
      </c>
      <c r="N16" s="1277">
        <v>0</v>
      </c>
      <c r="O16" s="1276">
        <v>0</v>
      </c>
      <c r="P16" s="1277">
        <v>0</v>
      </c>
      <c r="Q16" s="1276">
        <v>0</v>
      </c>
      <c r="R16" s="1277">
        <v>0</v>
      </c>
      <c r="S16" s="1276">
        <v>0</v>
      </c>
      <c r="T16" s="1277">
        <v>0</v>
      </c>
      <c r="U16" s="1276">
        <v>0</v>
      </c>
      <c r="V16" s="1277">
        <v>0</v>
      </c>
      <c r="W16" s="1276">
        <v>0</v>
      </c>
      <c r="X16" s="1277">
        <v>0</v>
      </c>
      <c r="Y16" s="1277">
        <v>0</v>
      </c>
      <c r="Z16" s="1897"/>
      <c r="AA16" s="1136" t="s">
        <v>2516</v>
      </c>
      <c r="AB16" s="682">
        <v>12047</v>
      </c>
      <c r="AC16" s="1278">
        <v>9.18</v>
      </c>
      <c r="AD16" s="682">
        <v>0</v>
      </c>
      <c r="AE16" s="1278">
        <v>0</v>
      </c>
      <c r="AF16" s="682">
        <v>255</v>
      </c>
      <c r="AG16" s="1278">
        <v>0.06</v>
      </c>
      <c r="AH16" s="682">
        <v>0</v>
      </c>
      <c r="AI16" s="1278">
        <v>0</v>
      </c>
      <c r="AJ16" s="682">
        <v>0</v>
      </c>
      <c r="AK16" s="1278">
        <v>0</v>
      </c>
      <c r="AL16" s="682">
        <v>0</v>
      </c>
      <c r="AM16" s="1278">
        <v>0</v>
      </c>
      <c r="AN16" s="682">
        <v>12302</v>
      </c>
      <c r="AO16" s="1278">
        <v>9.2600000000000016</v>
      </c>
      <c r="AP16" s="682">
        <v>0</v>
      </c>
      <c r="AQ16" s="1279">
        <v>0</v>
      </c>
      <c r="AR16" s="682">
        <v>0</v>
      </c>
      <c r="AS16" s="1278">
        <v>0</v>
      </c>
      <c r="AT16" s="682">
        <v>0</v>
      </c>
      <c r="AU16" s="1278">
        <v>0</v>
      </c>
      <c r="AV16" s="682">
        <v>0</v>
      </c>
      <c r="AW16" s="1278">
        <v>0</v>
      </c>
      <c r="AX16" s="1897"/>
      <c r="AY16" s="1136" t="s">
        <v>2516</v>
      </c>
      <c r="AZ16" s="1276">
        <v>0</v>
      </c>
      <c r="BA16" s="1277">
        <v>0</v>
      </c>
      <c r="BB16" s="1276">
        <v>0</v>
      </c>
      <c r="BC16" s="1277">
        <v>0</v>
      </c>
      <c r="BD16" s="1276">
        <v>12302</v>
      </c>
      <c r="BE16" s="1277">
        <v>1</v>
      </c>
      <c r="BF16" s="1276">
        <v>0</v>
      </c>
      <c r="BG16" s="1276">
        <v>3371</v>
      </c>
      <c r="BH16" s="1276">
        <v>0</v>
      </c>
      <c r="BI16" s="1276">
        <v>3371</v>
      </c>
      <c r="BJ16" s="1276">
        <v>0</v>
      </c>
      <c r="BK16" s="1276">
        <v>0</v>
      </c>
      <c r="BL16" s="1277">
        <v>0</v>
      </c>
      <c r="BM16" s="1276">
        <v>0</v>
      </c>
      <c r="BN16" s="1276">
        <v>0</v>
      </c>
      <c r="BO16" s="1277">
        <v>0</v>
      </c>
      <c r="BP16" s="1276">
        <v>0</v>
      </c>
      <c r="BQ16" s="1276">
        <v>0</v>
      </c>
      <c r="BR16" s="1276">
        <v>0</v>
      </c>
      <c r="BS16" s="1277">
        <v>0</v>
      </c>
      <c r="BT16" s="1276">
        <v>0</v>
      </c>
      <c r="BU16" s="1276">
        <v>5</v>
      </c>
      <c r="BV16" s="1280">
        <v>0</v>
      </c>
    </row>
    <row r="17" spans="1:74" s="1139" customFormat="1" ht="9" customHeight="1">
      <c r="A17" s="1897"/>
      <c r="B17" s="1137" t="s">
        <v>2517</v>
      </c>
      <c r="C17" s="1281">
        <v>4261744</v>
      </c>
      <c r="D17" s="1282">
        <v>330006.29000000004</v>
      </c>
      <c r="E17" s="1281">
        <v>5250</v>
      </c>
      <c r="F17" s="1282">
        <v>205.57</v>
      </c>
      <c r="G17" s="1281">
        <v>4266994</v>
      </c>
      <c r="H17" s="1282">
        <v>330211.83</v>
      </c>
      <c r="I17" s="1281">
        <v>3098402</v>
      </c>
      <c r="J17" s="1282">
        <v>18174.350000000002</v>
      </c>
      <c r="K17" s="1281">
        <v>236029</v>
      </c>
      <c r="L17" s="1282">
        <v>154.71999999999997</v>
      </c>
      <c r="M17" s="1281">
        <v>7496</v>
      </c>
      <c r="N17" s="1282">
        <v>11.94</v>
      </c>
      <c r="O17" s="1281">
        <v>1852185</v>
      </c>
      <c r="P17" s="1282">
        <v>1074.96</v>
      </c>
      <c r="Q17" s="1281">
        <v>214280</v>
      </c>
      <c r="R17" s="1282">
        <v>248.89000000000001</v>
      </c>
      <c r="S17" s="1281">
        <v>115430</v>
      </c>
      <c r="T17" s="1282">
        <v>17.569999999999993</v>
      </c>
      <c r="U17" s="1281">
        <v>54158</v>
      </c>
      <c r="V17" s="1282">
        <v>60.19</v>
      </c>
      <c r="W17" s="1281">
        <v>2479578</v>
      </c>
      <c r="X17" s="1282">
        <v>1568.38</v>
      </c>
      <c r="Y17" s="1282">
        <v>2370.96</v>
      </c>
      <c r="Z17" s="1897"/>
      <c r="AA17" s="1137" t="s">
        <v>2517</v>
      </c>
      <c r="AB17" s="1283">
        <v>39463086</v>
      </c>
      <c r="AC17" s="1284">
        <v>27490.619999999995</v>
      </c>
      <c r="AD17" s="1283">
        <v>1129</v>
      </c>
      <c r="AE17" s="1284">
        <v>2.1399999999999997</v>
      </c>
      <c r="AF17" s="1283">
        <v>1580323</v>
      </c>
      <c r="AG17" s="1284">
        <v>1596.02</v>
      </c>
      <c r="AH17" s="1283">
        <v>4695</v>
      </c>
      <c r="AI17" s="1284">
        <v>8.15</v>
      </c>
      <c r="AJ17" s="1283">
        <v>128275</v>
      </c>
      <c r="AK17" s="1284">
        <v>20.249999999999996</v>
      </c>
      <c r="AL17" s="1283">
        <v>1325</v>
      </c>
      <c r="AM17" s="1284">
        <v>1.48</v>
      </c>
      <c r="AN17" s="1283">
        <v>41178833</v>
      </c>
      <c r="AO17" s="1284">
        <v>29118.629999999997</v>
      </c>
      <c r="AP17" s="1283">
        <v>151560</v>
      </c>
      <c r="AQ17" s="1285">
        <v>100.51</v>
      </c>
      <c r="AR17" s="1283">
        <v>19526</v>
      </c>
      <c r="AS17" s="1284">
        <v>10.95</v>
      </c>
      <c r="AT17" s="1283">
        <v>69227</v>
      </c>
      <c r="AU17" s="1284">
        <v>216.99</v>
      </c>
      <c r="AV17" s="1283">
        <v>258132</v>
      </c>
      <c r="AW17" s="1284">
        <v>263.58</v>
      </c>
      <c r="AX17" s="1897"/>
      <c r="AY17" s="1137" t="s">
        <v>2517</v>
      </c>
      <c r="AZ17" s="1281">
        <v>95501</v>
      </c>
      <c r="BA17" s="1282">
        <v>20.200000000000003</v>
      </c>
      <c r="BB17" s="1281">
        <v>422860</v>
      </c>
      <c r="BC17" s="1282">
        <v>500.81</v>
      </c>
      <c r="BD17" s="1281">
        <v>44247662</v>
      </c>
      <c r="BE17" s="1282">
        <v>31291.11</v>
      </c>
      <c r="BF17" s="1281">
        <v>676016</v>
      </c>
      <c r="BG17" s="1281">
        <v>8653537</v>
      </c>
      <c r="BH17" s="1281">
        <v>145140</v>
      </c>
      <c r="BI17" s="1281">
        <v>9474693</v>
      </c>
      <c r="BJ17" s="1281">
        <v>1299240</v>
      </c>
      <c r="BK17" s="1281">
        <v>1555858</v>
      </c>
      <c r="BL17" s="1282">
        <v>2758.48</v>
      </c>
      <c r="BM17" s="1281">
        <v>612784</v>
      </c>
      <c r="BN17" s="1281">
        <v>364202206</v>
      </c>
      <c r="BO17" s="1282">
        <v>59837.75</v>
      </c>
      <c r="BP17" s="1281">
        <v>36307800</v>
      </c>
      <c r="BQ17" s="1281">
        <v>610</v>
      </c>
      <c r="BR17" s="1281">
        <v>852922</v>
      </c>
      <c r="BS17" s="1282">
        <v>1424.2199999999998</v>
      </c>
      <c r="BT17" s="1281">
        <v>261693</v>
      </c>
      <c r="BU17" s="1281">
        <v>8133</v>
      </c>
      <c r="BV17" s="1286">
        <v>32270</v>
      </c>
    </row>
    <row r="18" spans="1:74" s="1139" customFormat="1" ht="10.35" customHeight="1">
      <c r="A18" s="1897"/>
      <c r="B18" s="1138" t="s">
        <v>2541</v>
      </c>
      <c r="C18" s="1287">
        <v>499782</v>
      </c>
      <c r="D18" s="1288">
        <v>40028.590000000004</v>
      </c>
      <c r="E18" s="1287">
        <v>10</v>
      </c>
      <c r="F18" s="1288">
        <v>0.56000000000000005</v>
      </c>
      <c r="G18" s="1287">
        <v>499792</v>
      </c>
      <c r="H18" s="1288">
        <v>40029.15</v>
      </c>
      <c r="I18" s="1287">
        <v>999138</v>
      </c>
      <c r="J18" s="1288">
        <v>8274.01</v>
      </c>
      <c r="K18" s="1287">
        <v>20915</v>
      </c>
      <c r="L18" s="1288">
        <v>18.41</v>
      </c>
      <c r="M18" s="1287">
        <v>289</v>
      </c>
      <c r="N18" s="1288">
        <v>0.32</v>
      </c>
      <c r="O18" s="1287">
        <v>552433</v>
      </c>
      <c r="P18" s="1288">
        <v>263.97000000000003</v>
      </c>
      <c r="Q18" s="1287">
        <v>12273</v>
      </c>
      <c r="R18" s="1288">
        <v>14.979999999999999</v>
      </c>
      <c r="S18" s="1287">
        <v>45582</v>
      </c>
      <c r="T18" s="1288">
        <v>9.68</v>
      </c>
      <c r="U18" s="1287">
        <v>3164</v>
      </c>
      <c r="V18" s="1288">
        <v>2.97</v>
      </c>
      <c r="W18" s="1287">
        <v>634656</v>
      </c>
      <c r="X18" s="1288">
        <v>310.33999999999997</v>
      </c>
      <c r="Y18" s="1288">
        <v>624.79000000000008</v>
      </c>
      <c r="Z18" s="1897"/>
      <c r="AA18" s="1138" t="s">
        <v>2541</v>
      </c>
      <c r="AB18" s="1289">
        <v>1768138</v>
      </c>
      <c r="AC18" s="1290">
        <v>2096.16</v>
      </c>
      <c r="AD18" s="1289">
        <v>2818</v>
      </c>
      <c r="AE18" s="1290">
        <v>7.08</v>
      </c>
      <c r="AF18" s="1289">
        <v>302916</v>
      </c>
      <c r="AG18" s="1290">
        <v>103.12</v>
      </c>
      <c r="AH18" s="1289">
        <v>5610</v>
      </c>
      <c r="AI18" s="1290">
        <v>8.1999999999999993</v>
      </c>
      <c r="AJ18" s="1289">
        <v>25679</v>
      </c>
      <c r="AK18" s="1290">
        <v>2.15</v>
      </c>
      <c r="AL18" s="1289">
        <v>3163</v>
      </c>
      <c r="AM18" s="1290">
        <v>4.5</v>
      </c>
      <c r="AN18" s="1289">
        <v>2108324</v>
      </c>
      <c r="AO18" s="1290">
        <v>2221.17</v>
      </c>
      <c r="AP18" s="1289">
        <v>0</v>
      </c>
      <c r="AQ18" s="1291">
        <v>0</v>
      </c>
      <c r="AR18" s="1289">
        <v>5144</v>
      </c>
      <c r="AS18" s="1290">
        <v>3.4400000000000004</v>
      </c>
      <c r="AT18" s="1289">
        <v>47099</v>
      </c>
      <c r="AU18" s="1290">
        <v>109.16</v>
      </c>
      <c r="AV18" s="1289">
        <v>0</v>
      </c>
      <c r="AW18" s="1290">
        <v>0</v>
      </c>
      <c r="AX18" s="1897"/>
      <c r="AY18" s="1138" t="s">
        <v>2541</v>
      </c>
      <c r="AZ18" s="1287">
        <v>0</v>
      </c>
      <c r="BA18" s="1288">
        <v>0</v>
      </c>
      <c r="BB18" s="1287">
        <v>47099</v>
      </c>
      <c r="BC18" s="1288">
        <v>109.16</v>
      </c>
      <c r="BD18" s="1287">
        <v>2789613</v>
      </c>
      <c r="BE18" s="1288">
        <v>2635.9</v>
      </c>
      <c r="BF18" s="1287">
        <v>91048</v>
      </c>
      <c r="BG18" s="1287">
        <v>296824</v>
      </c>
      <c r="BH18" s="1287">
        <v>12444</v>
      </c>
      <c r="BI18" s="1287">
        <v>400316</v>
      </c>
      <c r="BJ18" s="1287">
        <v>137597</v>
      </c>
      <c r="BK18" s="1287">
        <v>487066</v>
      </c>
      <c r="BL18" s="1288">
        <v>4495.7300000000005</v>
      </c>
      <c r="BM18" s="1287">
        <v>0</v>
      </c>
      <c r="BN18" s="1287">
        <v>0</v>
      </c>
      <c r="BO18" s="1288">
        <v>0</v>
      </c>
      <c r="BP18" s="1287">
        <v>0</v>
      </c>
      <c r="BQ18" s="1287">
        <v>0</v>
      </c>
      <c r="BR18" s="1287">
        <v>0</v>
      </c>
      <c r="BS18" s="1288">
        <v>0</v>
      </c>
      <c r="BT18" s="1287">
        <v>0</v>
      </c>
      <c r="BU18" s="1287">
        <v>171</v>
      </c>
      <c r="BV18" s="1292">
        <v>0</v>
      </c>
    </row>
    <row r="19" spans="1:74" s="1141" customFormat="1" ht="10.35" customHeight="1">
      <c r="A19" s="1898"/>
      <c r="B19" s="1140" t="s">
        <v>1128</v>
      </c>
      <c r="C19" s="1189">
        <v>5961399</v>
      </c>
      <c r="D19" s="1190">
        <v>477801.42000000004</v>
      </c>
      <c r="E19" s="1189">
        <v>7746</v>
      </c>
      <c r="F19" s="1190">
        <v>411.12</v>
      </c>
      <c r="G19" s="1189">
        <v>5969145</v>
      </c>
      <c r="H19" s="1190">
        <v>478212.51</v>
      </c>
      <c r="I19" s="1189">
        <v>4176971</v>
      </c>
      <c r="J19" s="1190">
        <v>27144.11</v>
      </c>
      <c r="K19" s="1189">
        <v>266688</v>
      </c>
      <c r="L19" s="1190">
        <v>182.13999999999996</v>
      </c>
      <c r="M19" s="1189">
        <v>7787</v>
      </c>
      <c r="N19" s="1190">
        <v>12.26</v>
      </c>
      <c r="O19" s="1189">
        <v>2407964</v>
      </c>
      <c r="P19" s="1190">
        <v>1340.68</v>
      </c>
      <c r="Q19" s="1189">
        <v>226629</v>
      </c>
      <c r="R19" s="1190">
        <v>263.96000000000004</v>
      </c>
      <c r="S19" s="1189">
        <v>161012</v>
      </c>
      <c r="T19" s="1190">
        <v>27.249999999999993</v>
      </c>
      <c r="U19" s="1189">
        <v>57322</v>
      </c>
      <c r="V19" s="1190">
        <v>63.16</v>
      </c>
      <c r="W19" s="1189">
        <v>3127402</v>
      </c>
      <c r="X19" s="1190">
        <v>1889.57</v>
      </c>
      <c r="Y19" s="1190">
        <v>3002.09</v>
      </c>
      <c r="Z19" s="1898"/>
      <c r="AA19" s="1140" t="s">
        <v>1128</v>
      </c>
      <c r="AB19" s="1189">
        <v>41687878</v>
      </c>
      <c r="AC19" s="1190">
        <v>30026.659999999996</v>
      </c>
      <c r="AD19" s="1189">
        <v>3947</v>
      </c>
      <c r="AE19" s="1190">
        <v>9.2199999999999989</v>
      </c>
      <c r="AF19" s="1189">
        <v>1890916</v>
      </c>
      <c r="AG19" s="1190">
        <v>1701.46</v>
      </c>
      <c r="AH19" s="1189">
        <v>10305</v>
      </c>
      <c r="AI19" s="1190">
        <v>16.350000000000001</v>
      </c>
      <c r="AJ19" s="1189">
        <v>153954</v>
      </c>
      <c r="AK19" s="1190">
        <v>22.399999999999995</v>
      </c>
      <c r="AL19" s="1189">
        <v>4488</v>
      </c>
      <c r="AM19" s="1190">
        <v>5.98</v>
      </c>
      <c r="AN19" s="1189">
        <v>43751488</v>
      </c>
      <c r="AO19" s="1190">
        <v>31782.009999999995</v>
      </c>
      <c r="AP19" s="1189">
        <v>151592</v>
      </c>
      <c r="AQ19" s="1213">
        <v>100.51</v>
      </c>
      <c r="AR19" s="1189">
        <v>24670</v>
      </c>
      <c r="AS19" s="1190">
        <v>14.39</v>
      </c>
      <c r="AT19" s="1189">
        <v>116346</v>
      </c>
      <c r="AU19" s="1190">
        <v>326.18</v>
      </c>
      <c r="AV19" s="1189">
        <v>258132</v>
      </c>
      <c r="AW19" s="1190">
        <v>263.58</v>
      </c>
      <c r="AX19" s="1898"/>
      <c r="AY19" s="1140" t="s">
        <v>1128</v>
      </c>
      <c r="AZ19" s="1189">
        <v>95501</v>
      </c>
      <c r="BA19" s="1190">
        <v>20.200000000000003</v>
      </c>
      <c r="BB19" s="1189">
        <v>469979</v>
      </c>
      <c r="BC19" s="1190">
        <v>610</v>
      </c>
      <c r="BD19" s="1189">
        <v>47514826</v>
      </c>
      <c r="BE19" s="1190">
        <v>34371.840000000004</v>
      </c>
      <c r="BF19" s="1189">
        <v>769296</v>
      </c>
      <c r="BG19" s="1189">
        <v>9062049</v>
      </c>
      <c r="BH19" s="1189">
        <v>160225</v>
      </c>
      <c r="BI19" s="1189">
        <v>9991570</v>
      </c>
      <c r="BJ19" s="1189">
        <v>1436837</v>
      </c>
      <c r="BK19" s="1189">
        <v>2048054</v>
      </c>
      <c r="BL19" s="1190">
        <v>7258.76</v>
      </c>
      <c r="BM19" s="1189">
        <v>617418</v>
      </c>
      <c r="BN19" s="1189">
        <v>364243785</v>
      </c>
      <c r="BO19" s="1190">
        <v>59846.559999999998</v>
      </c>
      <c r="BP19" s="1189">
        <v>36333933</v>
      </c>
      <c r="BQ19" s="1189">
        <v>610</v>
      </c>
      <c r="BR19" s="1189">
        <v>852922</v>
      </c>
      <c r="BS19" s="1190">
        <v>1424.2199999999998</v>
      </c>
      <c r="BT19" s="1189">
        <v>261693</v>
      </c>
      <c r="BU19" s="1189">
        <v>8517</v>
      </c>
      <c r="BV19" s="1191">
        <v>32270</v>
      </c>
    </row>
    <row r="20" spans="1:74" s="1141" customFormat="1" ht="8.25" customHeight="1">
      <c r="A20" s="1911" t="s">
        <v>2809</v>
      </c>
      <c r="B20" s="1912"/>
      <c r="C20" s="1488"/>
      <c r="D20" s="1489"/>
      <c r="E20" s="1488"/>
      <c r="F20" s="1489"/>
      <c r="G20" s="1488"/>
      <c r="H20" s="1489"/>
      <c r="I20" s="1488"/>
      <c r="J20" s="1489"/>
      <c r="K20" s="1488"/>
      <c r="L20" s="1489"/>
      <c r="M20" s="1488"/>
      <c r="N20" s="1489"/>
      <c r="O20" s="1488"/>
      <c r="P20" s="1489"/>
      <c r="Q20" s="1488"/>
      <c r="R20" s="1489"/>
      <c r="S20" s="1488"/>
      <c r="T20" s="1489"/>
      <c r="U20" s="1488"/>
      <c r="V20" s="1489"/>
      <c r="W20" s="1488"/>
      <c r="X20" s="1489"/>
      <c r="Y20" s="1489"/>
      <c r="Z20" s="1911" t="s">
        <v>2809</v>
      </c>
      <c r="AA20" s="1912"/>
      <c r="AB20" s="1488"/>
      <c r="AC20" s="1489"/>
      <c r="AD20" s="1488"/>
      <c r="AE20" s="1489"/>
      <c r="AF20" s="1488"/>
      <c r="AG20" s="1489"/>
      <c r="AH20" s="1488"/>
      <c r="AI20" s="1489"/>
      <c r="AJ20" s="1488"/>
      <c r="AK20" s="1489"/>
      <c r="AL20" s="1488"/>
      <c r="AM20" s="1489"/>
      <c r="AN20" s="1488"/>
      <c r="AO20" s="1489"/>
      <c r="AP20" s="1488"/>
      <c r="AQ20" s="1490"/>
      <c r="AR20" s="1488"/>
      <c r="AS20" s="1489"/>
      <c r="AT20" s="1488"/>
      <c r="AU20" s="1489"/>
      <c r="AV20" s="1488"/>
      <c r="AW20" s="1489"/>
      <c r="AX20" s="1911" t="s">
        <v>2809</v>
      </c>
      <c r="AY20" s="1912"/>
      <c r="AZ20" s="1488"/>
      <c r="BA20" s="1489"/>
      <c r="BB20" s="1488"/>
      <c r="BC20" s="1489"/>
      <c r="BD20" s="1488"/>
      <c r="BE20" s="1489"/>
      <c r="BF20" s="1488"/>
      <c r="BG20" s="1488"/>
      <c r="BH20" s="1488"/>
      <c r="BI20" s="1488"/>
      <c r="BJ20" s="1488"/>
      <c r="BK20" s="1488"/>
      <c r="BL20" s="1489"/>
      <c r="BM20" s="1488"/>
      <c r="BN20" s="1488"/>
      <c r="BO20" s="1489"/>
      <c r="BP20" s="1488"/>
      <c r="BQ20" s="1488"/>
      <c r="BR20" s="1488"/>
      <c r="BS20" s="1489"/>
      <c r="BT20" s="1488"/>
      <c r="BU20" s="1488"/>
      <c r="BV20" s="1491"/>
    </row>
    <row r="21" spans="1:74" s="1141" customFormat="1" ht="10.35" customHeight="1">
      <c r="A21" s="1896" t="s">
        <v>2548</v>
      </c>
      <c r="B21" s="1265" t="s">
        <v>2515</v>
      </c>
      <c r="C21" s="1266">
        <v>994616</v>
      </c>
      <c r="D21" s="1267">
        <v>90387.69</v>
      </c>
      <c r="E21" s="1266">
        <v>709</v>
      </c>
      <c r="F21" s="1267">
        <v>125.64000000000001</v>
      </c>
      <c r="G21" s="1266">
        <v>995325</v>
      </c>
      <c r="H21" s="1267">
        <v>90513.3</v>
      </c>
      <c r="I21" s="1266">
        <v>62346</v>
      </c>
      <c r="J21" s="1267">
        <v>454.11</v>
      </c>
      <c r="K21" s="1266">
        <v>10753</v>
      </c>
      <c r="L21" s="1267">
        <v>10.67</v>
      </c>
      <c r="M21" s="1266">
        <v>1</v>
      </c>
      <c r="N21" s="1267">
        <v>0</v>
      </c>
      <c r="O21" s="1266">
        <v>3684</v>
      </c>
      <c r="P21" s="1267">
        <v>1.22</v>
      </c>
      <c r="Q21" s="1266">
        <v>56</v>
      </c>
      <c r="R21" s="1267">
        <v>9.0000000000000011E-2</v>
      </c>
      <c r="S21" s="1266">
        <v>0</v>
      </c>
      <c r="T21" s="1267">
        <v>0</v>
      </c>
      <c r="U21" s="1266">
        <v>0</v>
      </c>
      <c r="V21" s="1267">
        <v>0</v>
      </c>
      <c r="W21" s="1266">
        <v>14494</v>
      </c>
      <c r="X21" s="1267">
        <v>11.99</v>
      </c>
      <c r="Y21" s="1267">
        <v>8.5500000000000007</v>
      </c>
      <c r="Z21" s="1896" t="s">
        <v>2548</v>
      </c>
      <c r="AA21" s="1265" t="s">
        <v>2515</v>
      </c>
      <c r="AB21" s="1266">
        <v>429467</v>
      </c>
      <c r="AC21" s="1267">
        <v>401.01</v>
      </c>
      <c r="AD21" s="1266">
        <v>0</v>
      </c>
      <c r="AE21" s="1267">
        <v>0</v>
      </c>
      <c r="AF21" s="1266">
        <v>9720</v>
      </c>
      <c r="AG21" s="1267">
        <v>2.77</v>
      </c>
      <c r="AH21" s="1266">
        <v>0</v>
      </c>
      <c r="AI21" s="1267">
        <v>0</v>
      </c>
      <c r="AJ21" s="1266">
        <v>0</v>
      </c>
      <c r="AK21" s="1267">
        <v>0</v>
      </c>
      <c r="AL21" s="1266">
        <v>0</v>
      </c>
      <c r="AM21" s="1267">
        <v>0</v>
      </c>
      <c r="AN21" s="1266">
        <v>439187</v>
      </c>
      <c r="AO21" s="1267">
        <v>403.78</v>
      </c>
      <c r="AP21" s="1266">
        <v>23</v>
      </c>
      <c r="AQ21" s="1269">
        <v>0</v>
      </c>
      <c r="AR21" s="1266">
        <v>0</v>
      </c>
      <c r="AS21" s="1267">
        <v>0</v>
      </c>
      <c r="AT21" s="1266">
        <v>0</v>
      </c>
      <c r="AU21" s="1267">
        <v>0</v>
      </c>
      <c r="AV21" s="1266">
        <v>0</v>
      </c>
      <c r="AW21" s="1267">
        <v>0</v>
      </c>
      <c r="AX21" s="1896" t="s">
        <v>2548</v>
      </c>
      <c r="AY21" s="1265" t="s">
        <v>2515</v>
      </c>
      <c r="AZ21" s="1266">
        <v>0</v>
      </c>
      <c r="BA21" s="1267">
        <v>0</v>
      </c>
      <c r="BB21" s="1266">
        <v>0</v>
      </c>
      <c r="BC21" s="1267">
        <v>0</v>
      </c>
      <c r="BD21" s="1266">
        <v>453704</v>
      </c>
      <c r="BE21" s="1267">
        <v>415.77</v>
      </c>
      <c r="BF21" s="1266">
        <v>2367</v>
      </c>
      <c r="BG21" s="1266">
        <v>115581</v>
      </c>
      <c r="BH21" s="1266">
        <v>2641</v>
      </c>
      <c r="BI21" s="1266">
        <v>120589</v>
      </c>
      <c r="BJ21" s="1266">
        <v>0</v>
      </c>
      <c r="BK21" s="1266">
        <v>0</v>
      </c>
      <c r="BL21" s="1267">
        <v>0</v>
      </c>
      <c r="BM21" s="1266">
        <v>24288</v>
      </c>
      <c r="BN21" s="1266">
        <v>336112</v>
      </c>
      <c r="BO21" s="1267">
        <v>45.8</v>
      </c>
      <c r="BP21" s="1266">
        <v>260679</v>
      </c>
      <c r="BQ21" s="1266">
        <v>0</v>
      </c>
      <c r="BR21" s="1266">
        <v>0</v>
      </c>
      <c r="BS21" s="1267">
        <v>0</v>
      </c>
      <c r="BT21" s="1266">
        <v>0</v>
      </c>
      <c r="BU21" s="1266">
        <v>216</v>
      </c>
      <c r="BV21" s="1246">
        <v>0</v>
      </c>
    </row>
    <row r="22" spans="1:74" s="1141" customFormat="1" ht="10.35" customHeight="1">
      <c r="A22" s="1897"/>
      <c r="B22" s="1135" t="s">
        <v>2516</v>
      </c>
      <c r="C22" s="1234">
        <v>42473</v>
      </c>
      <c r="D22" s="1235">
        <v>3226.38</v>
      </c>
      <c r="E22" s="1234">
        <v>1339</v>
      </c>
      <c r="F22" s="1235">
        <v>24.759999999999998</v>
      </c>
      <c r="G22" s="1234">
        <v>43812</v>
      </c>
      <c r="H22" s="1235">
        <v>3251.1400000000003</v>
      </c>
      <c r="I22" s="1234">
        <v>176</v>
      </c>
      <c r="J22" s="1235">
        <v>131.32</v>
      </c>
      <c r="K22" s="1234">
        <v>0</v>
      </c>
      <c r="L22" s="1235">
        <v>0</v>
      </c>
      <c r="M22" s="1234">
        <v>0</v>
      </c>
      <c r="N22" s="1235">
        <v>0</v>
      </c>
      <c r="O22" s="1234">
        <v>0</v>
      </c>
      <c r="P22" s="1235">
        <v>0</v>
      </c>
      <c r="Q22" s="1234">
        <v>0</v>
      </c>
      <c r="R22" s="1235">
        <v>0</v>
      </c>
      <c r="S22" s="1234">
        <v>0</v>
      </c>
      <c r="T22" s="1235">
        <v>0</v>
      </c>
      <c r="U22" s="1234">
        <v>0</v>
      </c>
      <c r="V22" s="1235">
        <v>0</v>
      </c>
      <c r="W22" s="1234">
        <v>0</v>
      </c>
      <c r="X22" s="1235">
        <v>0</v>
      </c>
      <c r="Y22" s="1235">
        <v>0</v>
      </c>
      <c r="Z22" s="1897"/>
      <c r="AA22" s="1135" t="s">
        <v>2516</v>
      </c>
      <c r="AB22" s="1234">
        <v>11282</v>
      </c>
      <c r="AC22" s="1235">
        <v>8.7199999999999989</v>
      </c>
      <c r="AD22" s="1234">
        <v>0</v>
      </c>
      <c r="AE22" s="1235">
        <v>0</v>
      </c>
      <c r="AF22" s="1234">
        <v>295</v>
      </c>
      <c r="AG22" s="1235">
        <v>0.08</v>
      </c>
      <c r="AH22" s="1234">
        <v>0</v>
      </c>
      <c r="AI22" s="1235">
        <v>0</v>
      </c>
      <c r="AJ22" s="1234">
        <v>0</v>
      </c>
      <c r="AK22" s="1235">
        <v>0</v>
      </c>
      <c r="AL22" s="1234">
        <v>0</v>
      </c>
      <c r="AM22" s="1235">
        <v>0</v>
      </c>
      <c r="AN22" s="1234">
        <v>11577</v>
      </c>
      <c r="AO22" s="1235">
        <v>8.8000000000000007</v>
      </c>
      <c r="AP22" s="1234">
        <v>0</v>
      </c>
      <c r="AQ22" s="1236">
        <v>0</v>
      </c>
      <c r="AR22" s="1234">
        <v>0</v>
      </c>
      <c r="AS22" s="1235">
        <v>0</v>
      </c>
      <c r="AT22" s="1234">
        <v>0</v>
      </c>
      <c r="AU22" s="1235">
        <v>0</v>
      </c>
      <c r="AV22" s="1234">
        <v>0</v>
      </c>
      <c r="AW22" s="1235">
        <v>0</v>
      </c>
      <c r="AX22" s="1897"/>
      <c r="AY22" s="1135" t="s">
        <v>2516</v>
      </c>
      <c r="AZ22" s="1234">
        <v>0</v>
      </c>
      <c r="BA22" s="1235">
        <v>0</v>
      </c>
      <c r="BB22" s="1234">
        <v>0</v>
      </c>
      <c r="BC22" s="1235">
        <v>0</v>
      </c>
      <c r="BD22" s="1234">
        <v>11577</v>
      </c>
      <c r="BE22" s="1235">
        <v>1</v>
      </c>
      <c r="BF22" s="1234">
        <v>0</v>
      </c>
      <c r="BG22" s="1234">
        <v>3494</v>
      </c>
      <c r="BH22" s="1234">
        <v>0</v>
      </c>
      <c r="BI22" s="1234">
        <v>3494</v>
      </c>
      <c r="BJ22" s="1234">
        <v>0</v>
      </c>
      <c r="BK22" s="1234">
        <v>0</v>
      </c>
      <c r="BL22" s="1235">
        <v>0</v>
      </c>
      <c r="BM22" s="1234">
        <v>0</v>
      </c>
      <c r="BN22" s="1234">
        <v>0</v>
      </c>
      <c r="BO22" s="1235">
        <v>0</v>
      </c>
      <c r="BP22" s="1234">
        <v>0</v>
      </c>
      <c r="BQ22" s="1234">
        <v>0</v>
      </c>
      <c r="BR22" s="1234">
        <v>0</v>
      </c>
      <c r="BS22" s="1235">
        <v>0</v>
      </c>
      <c r="BT22" s="1234">
        <v>0</v>
      </c>
      <c r="BU22" s="1234">
        <v>5</v>
      </c>
      <c r="BV22" s="1247">
        <v>0</v>
      </c>
    </row>
    <row r="23" spans="1:74" s="1141" customFormat="1" ht="10.35" customHeight="1">
      <c r="A23" s="1897"/>
      <c r="B23" s="1242" t="s">
        <v>2517</v>
      </c>
      <c r="C23" s="1239">
        <v>3552877</v>
      </c>
      <c r="D23" s="1240">
        <v>289578.14</v>
      </c>
      <c r="E23" s="1239">
        <v>2913</v>
      </c>
      <c r="F23" s="1240">
        <v>98.170000000000016</v>
      </c>
      <c r="G23" s="1239">
        <v>3555790</v>
      </c>
      <c r="H23" s="1240">
        <v>289676.27999999997</v>
      </c>
      <c r="I23" s="1239">
        <v>2336497</v>
      </c>
      <c r="J23" s="1240">
        <v>14157.84</v>
      </c>
      <c r="K23" s="1239">
        <v>226755</v>
      </c>
      <c r="L23" s="1240">
        <v>151.76</v>
      </c>
      <c r="M23" s="1239">
        <v>9670</v>
      </c>
      <c r="N23" s="1240">
        <v>21.2</v>
      </c>
      <c r="O23" s="1239">
        <v>1713500</v>
      </c>
      <c r="P23" s="1240">
        <v>951.32999999999993</v>
      </c>
      <c r="Q23" s="1239">
        <v>292238</v>
      </c>
      <c r="R23" s="1240">
        <v>324.93</v>
      </c>
      <c r="S23" s="1239">
        <v>129874</v>
      </c>
      <c r="T23" s="1240">
        <v>22.04999999999999</v>
      </c>
      <c r="U23" s="1239">
        <v>63617</v>
      </c>
      <c r="V23" s="1240">
        <v>71.339999999999989</v>
      </c>
      <c r="W23" s="1239">
        <v>2435654</v>
      </c>
      <c r="X23" s="1240">
        <v>1542.64</v>
      </c>
      <c r="Y23" s="1240">
        <v>2461.5299999999997</v>
      </c>
      <c r="Z23" s="1897"/>
      <c r="AA23" s="1242" t="s">
        <v>2517</v>
      </c>
      <c r="AB23" s="1239">
        <v>32069058</v>
      </c>
      <c r="AC23" s="1240">
        <v>23128.409999999996</v>
      </c>
      <c r="AD23" s="1239">
        <v>1079</v>
      </c>
      <c r="AE23" s="1240">
        <v>2.2400000000000002</v>
      </c>
      <c r="AF23" s="1239">
        <v>1462053</v>
      </c>
      <c r="AG23" s="1240">
        <v>1253</v>
      </c>
      <c r="AH23" s="1239">
        <v>6246</v>
      </c>
      <c r="AI23" s="1240">
        <v>10.620000000000001</v>
      </c>
      <c r="AJ23" s="1239">
        <v>146567</v>
      </c>
      <c r="AK23" s="1240">
        <v>29.49</v>
      </c>
      <c r="AL23" s="1239">
        <v>1725</v>
      </c>
      <c r="AM23" s="1240">
        <v>1.56</v>
      </c>
      <c r="AN23" s="1239">
        <v>33686728</v>
      </c>
      <c r="AO23" s="1240">
        <v>24425.449999999993</v>
      </c>
      <c r="AP23" s="1239">
        <v>150972</v>
      </c>
      <c r="AQ23" s="1241">
        <v>105.78999999999999</v>
      </c>
      <c r="AR23" s="1239">
        <v>24314</v>
      </c>
      <c r="AS23" s="1240">
        <v>138.56</v>
      </c>
      <c r="AT23" s="1239">
        <v>102628</v>
      </c>
      <c r="AU23" s="1240">
        <v>139.80000000000001</v>
      </c>
      <c r="AV23" s="1239">
        <v>220314</v>
      </c>
      <c r="AW23" s="1240">
        <v>179.63</v>
      </c>
      <c r="AX23" s="1897"/>
      <c r="AY23" s="1242" t="s">
        <v>2517</v>
      </c>
      <c r="AZ23" s="1239">
        <v>144867</v>
      </c>
      <c r="BA23" s="1240">
        <v>22</v>
      </c>
      <c r="BB23" s="1239">
        <v>467809</v>
      </c>
      <c r="BC23" s="1240">
        <v>341.44</v>
      </c>
      <c r="BD23" s="1239">
        <v>36759231</v>
      </c>
      <c r="BE23" s="1240">
        <v>26543.239999999998</v>
      </c>
      <c r="BF23" s="1239">
        <v>705299</v>
      </c>
      <c r="BG23" s="1239">
        <v>8941959</v>
      </c>
      <c r="BH23" s="1239">
        <v>148659</v>
      </c>
      <c r="BI23" s="1239">
        <v>9795917</v>
      </c>
      <c r="BJ23" s="1239">
        <v>1340651</v>
      </c>
      <c r="BK23" s="1239">
        <v>1654239</v>
      </c>
      <c r="BL23" s="1240">
        <v>3130.73</v>
      </c>
      <c r="BM23" s="1239">
        <v>629290</v>
      </c>
      <c r="BN23" s="1239">
        <v>360385309</v>
      </c>
      <c r="BO23" s="1240">
        <v>57405.639999999992</v>
      </c>
      <c r="BP23" s="1239">
        <v>37837707</v>
      </c>
      <c r="BQ23" s="1239">
        <v>1279</v>
      </c>
      <c r="BR23" s="1239">
        <v>1167232</v>
      </c>
      <c r="BS23" s="1240">
        <v>2169.23</v>
      </c>
      <c r="BT23" s="1239">
        <v>382848</v>
      </c>
      <c r="BU23" s="1239">
        <v>8302</v>
      </c>
      <c r="BV23" s="1248">
        <v>31692</v>
      </c>
    </row>
    <row r="24" spans="1:74" s="1141" customFormat="1" ht="10.35" customHeight="1">
      <c r="A24" s="1897"/>
      <c r="B24" s="1135" t="s">
        <v>2541</v>
      </c>
      <c r="C24" s="1234">
        <v>447164</v>
      </c>
      <c r="D24" s="1235">
        <v>38398.520000000004</v>
      </c>
      <c r="E24" s="1234">
        <v>8</v>
      </c>
      <c r="F24" s="1235">
        <v>0.49</v>
      </c>
      <c r="G24" s="1234">
        <v>447172</v>
      </c>
      <c r="H24" s="1235">
        <v>38399.01</v>
      </c>
      <c r="I24" s="1234">
        <v>723773</v>
      </c>
      <c r="J24" s="1235">
        <v>6473.2899999999991</v>
      </c>
      <c r="K24" s="1234">
        <v>21032</v>
      </c>
      <c r="L24" s="1235">
        <v>19.27</v>
      </c>
      <c r="M24" s="1234">
        <v>310</v>
      </c>
      <c r="N24" s="1235">
        <v>0.39</v>
      </c>
      <c r="O24" s="1234">
        <v>587216</v>
      </c>
      <c r="P24" s="1235">
        <v>274.70000000000005</v>
      </c>
      <c r="Q24" s="1234">
        <v>17044</v>
      </c>
      <c r="R24" s="1235">
        <v>18.55</v>
      </c>
      <c r="S24" s="1234">
        <v>54501</v>
      </c>
      <c r="T24" s="1235">
        <v>11.849999999999998</v>
      </c>
      <c r="U24" s="1234">
        <v>3952</v>
      </c>
      <c r="V24" s="1235">
        <v>3.4499999999999997</v>
      </c>
      <c r="W24" s="1234">
        <v>684055</v>
      </c>
      <c r="X24" s="1235">
        <v>328.19</v>
      </c>
      <c r="Y24" s="1235">
        <v>623.70999999999992</v>
      </c>
      <c r="Z24" s="1897"/>
      <c r="AA24" s="1135" t="s">
        <v>2541</v>
      </c>
      <c r="AB24" s="1234">
        <v>1566765</v>
      </c>
      <c r="AC24" s="1235">
        <v>1852.9900000000002</v>
      </c>
      <c r="AD24" s="1234">
        <v>4090</v>
      </c>
      <c r="AE24" s="1235">
        <v>10.969999999999999</v>
      </c>
      <c r="AF24" s="1234">
        <v>278854</v>
      </c>
      <c r="AG24" s="1235">
        <v>92.2</v>
      </c>
      <c r="AH24" s="1234">
        <v>8714</v>
      </c>
      <c r="AI24" s="1235">
        <v>12.840000000000002</v>
      </c>
      <c r="AJ24" s="1234">
        <v>31012</v>
      </c>
      <c r="AK24" s="1235">
        <v>2.5</v>
      </c>
      <c r="AL24" s="1234">
        <v>2571</v>
      </c>
      <c r="AM24" s="1235">
        <v>3.5800000000000005</v>
      </c>
      <c r="AN24" s="1234">
        <v>1892006</v>
      </c>
      <c r="AO24" s="1235">
        <v>1975.13</v>
      </c>
      <c r="AP24" s="1234">
        <v>0</v>
      </c>
      <c r="AQ24" s="1236">
        <v>0</v>
      </c>
      <c r="AR24" s="1234">
        <v>3319</v>
      </c>
      <c r="AS24" s="1235">
        <v>2.68</v>
      </c>
      <c r="AT24" s="1234">
        <v>37472</v>
      </c>
      <c r="AU24" s="1235">
        <v>84.8</v>
      </c>
      <c r="AV24" s="1234">
        <v>0</v>
      </c>
      <c r="AW24" s="1235">
        <v>0</v>
      </c>
      <c r="AX24" s="1897"/>
      <c r="AY24" s="1135" t="s">
        <v>2541</v>
      </c>
      <c r="AZ24" s="1234">
        <v>0</v>
      </c>
      <c r="BA24" s="1235">
        <v>0</v>
      </c>
      <c r="BB24" s="1234">
        <v>37472</v>
      </c>
      <c r="BC24" s="1235">
        <v>84.8</v>
      </c>
      <c r="BD24" s="1234">
        <v>2608138</v>
      </c>
      <c r="BE24" s="1235">
        <v>2377.9700000000003</v>
      </c>
      <c r="BF24" s="1234">
        <v>93958</v>
      </c>
      <c r="BG24" s="1234">
        <v>301399</v>
      </c>
      <c r="BH24" s="1234">
        <v>14550</v>
      </c>
      <c r="BI24" s="1234">
        <v>409907</v>
      </c>
      <c r="BJ24" s="1234">
        <v>137790</v>
      </c>
      <c r="BK24" s="1234">
        <v>452337</v>
      </c>
      <c r="BL24" s="1235">
        <v>5677.369999999999</v>
      </c>
      <c r="BM24" s="1234">
        <v>0</v>
      </c>
      <c r="BN24" s="1234">
        <v>0</v>
      </c>
      <c r="BO24" s="1235">
        <v>0</v>
      </c>
      <c r="BP24" s="1234">
        <v>0</v>
      </c>
      <c r="BQ24" s="1234">
        <v>0</v>
      </c>
      <c r="BR24" s="1234">
        <v>0</v>
      </c>
      <c r="BS24" s="1235">
        <v>0</v>
      </c>
      <c r="BT24" s="1234">
        <v>0</v>
      </c>
      <c r="BU24" s="1234">
        <v>170</v>
      </c>
      <c r="BV24" s="1247">
        <v>0</v>
      </c>
    </row>
    <row r="25" spans="1:74" s="1141" customFormat="1" ht="9.75" customHeight="1">
      <c r="A25" s="1898"/>
      <c r="B25" s="1268" t="s">
        <v>1128</v>
      </c>
      <c r="C25" s="1237">
        <v>5037130</v>
      </c>
      <c r="D25" s="1238">
        <v>421590.73000000004</v>
      </c>
      <c r="E25" s="1237">
        <v>4969</v>
      </c>
      <c r="F25" s="1238">
        <v>249.06000000000003</v>
      </c>
      <c r="G25" s="1237">
        <v>5042099</v>
      </c>
      <c r="H25" s="1238">
        <v>421839.73</v>
      </c>
      <c r="I25" s="1237">
        <v>3122792</v>
      </c>
      <c r="J25" s="1238">
        <v>21216.559999999998</v>
      </c>
      <c r="K25" s="1237">
        <v>258540</v>
      </c>
      <c r="L25" s="1238">
        <v>181.7</v>
      </c>
      <c r="M25" s="1237">
        <v>9981</v>
      </c>
      <c r="N25" s="1238">
        <v>21.59</v>
      </c>
      <c r="O25" s="1237">
        <v>2304400</v>
      </c>
      <c r="P25" s="1238">
        <v>1227.25</v>
      </c>
      <c r="Q25" s="1237">
        <v>309338</v>
      </c>
      <c r="R25" s="1238">
        <v>343.57</v>
      </c>
      <c r="S25" s="1237">
        <v>184375</v>
      </c>
      <c r="T25" s="1238">
        <v>33.899999999999991</v>
      </c>
      <c r="U25" s="1237">
        <v>67569</v>
      </c>
      <c r="V25" s="1238">
        <v>74.789999999999992</v>
      </c>
      <c r="W25" s="1237">
        <v>3134203</v>
      </c>
      <c r="X25" s="1238">
        <v>1882.8200000000002</v>
      </c>
      <c r="Y25" s="1238">
        <v>3093.79</v>
      </c>
      <c r="Z25" s="1898"/>
      <c r="AA25" s="1268" t="s">
        <v>1128</v>
      </c>
      <c r="AB25" s="1237">
        <v>34076572</v>
      </c>
      <c r="AC25" s="1238">
        <v>25391.129999999997</v>
      </c>
      <c r="AD25" s="1237">
        <v>5169</v>
      </c>
      <c r="AE25" s="1238">
        <v>13.209999999999999</v>
      </c>
      <c r="AF25" s="1237">
        <v>1750922</v>
      </c>
      <c r="AG25" s="1238">
        <v>1348.05</v>
      </c>
      <c r="AH25" s="1237">
        <v>14960</v>
      </c>
      <c r="AI25" s="1238">
        <v>23.46</v>
      </c>
      <c r="AJ25" s="1237">
        <v>177579</v>
      </c>
      <c r="AK25" s="1238">
        <v>31.99</v>
      </c>
      <c r="AL25" s="1237">
        <v>4296</v>
      </c>
      <c r="AM25" s="1238">
        <v>5.1400000000000006</v>
      </c>
      <c r="AN25" s="1237">
        <v>36029498</v>
      </c>
      <c r="AO25" s="1238">
        <v>26813.159999999996</v>
      </c>
      <c r="AP25" s="1237">
        <v>150995</v>
      </c>
      <c r="AQ25" s="1253">
        <v>105.78999999999999</v>
      </c>
      <c r="AR25" s="1237">
        <v>27633</v>
      </c>
      <c r="AS25" s="1238">
        <v>141.24</v>
      </c>
      <c r="AT25" s="1237">
        <v>140100</v>
      </c>
      <c r="AU25" s="1238">
        <v>224.60000000000002</v>
      </c>
      <c r="AV25" s="1237">
        <v>220314</v>
      </c>
      <c r="AW25" s="1238">
        <v>179.63</v>
      </c>
      <c r="AX25" s="1898"/>
      <c r="AY25" s="1268" t="s">
        <v>1128</v>
      </c>
      <c r="AZ25" s="1237">
        <v>144867</v>
      </c>
      <c r="BA25" s="1238">
        <v>22</v>
      </c>
      <c r="BB25" s="1237">
        <v>505281</v>
      </c>
      <c r="BC25" s="1238">
        <v>426.24</v>
      </c>
      <c r="BD25" s="1237">
        <v>39832650</v>
      </c>
      <c r="BE25" s="1238">
        <v>29337.98</v>
      </c>
      <c r="BF25" s="1237">
        <v>801624</v>
      </c>
      <c r="BG25" s="1237">
        <v>9362433</v>
      </c>
      <c r="BH25" s="1237">
        <v>165850</v>
      </c>
      <c r="BI25" s="1237">
        <v>10329907</v>
      </c>
      <c r="BJ25" s="1237">
        <v>1478441</v>
      </c>
      <c r="BK25" s="1237">
        <v>2106576</v>
      </c>
      <c r="BL25" s="1238">
        <v>8808.0999999999985</v>
      </c>
      <c r="BM25" s="1237">
        <v>653578</v>
      </c>
      <c r="BN25" s="1237">
        <v>360721421</v>
      </c>
      <c r="BO25" s="1238">
        <v>57451.439999999995</v>
      </c>
      <c r="BP25" s="1237">
        <v>38098386</v>
      </c>
      <c r="BQ25" s="1237">
        <v>1279</v>
      </c>
      <c r="BR25" s="1237">
        <v>1167232</v>
      </c>
      <c r="BS25" s="1238">
        <v>2169.23</v>
      </c>
      <c r="BT25" s="1237">
        <v>382848</v>
      </c>
      <c r="BU25" s="1237">
        <v>8693</v>
      </c>
      <c r="BV25" s="1249">
        <v>31692</v>
      </c>
    </row>
    <row r="26" spans="1:74" s="1141" customFormat="1" ht="10.35" customHeight="1">
      <c r="A26" s="1896" t="s">
        <v>2684</v>
      </c>
      <c r="B26" s="1418" t="s">
        <v>2515</v>
      </c>
      <c r="C26" s="1419">
        <v>1077828</v>
      </c>
      <c r="D26" s="1420">
        <v>98014.23</v>
      </c>
      <c r="E26" s="1419">
        <v>701</v>
      </c>
      <c r="F26" s="1420">
        <v>85.95</v>
      </c>
      <c r="G26" s="1419">
        <v>1078529</v>
      </c>
      <c r="H26" s="1420">
        <v>98100.180000000008</v>
      </c>
      <c r="I26" s="1419">
        <v>62126</v>
      </c>
      <c r="J26" s="1420">
        <v>465.34</v>
      </c>
      <c r="K26" s="1419">
        <v>11859</v>
      </c>
      <c r="L26" s="1420">
        <v>11.07</v>
      </c>
      <c r="M26" s="1419">
        <v>5</v>
      </c>
      <c r="N26" s="1420">
        <v>0.01</v>
      </c>
      <c r="O26" s="1419">
        <v>5795</v>
      </c>
      <c r="P26" s="1420">
        <v>1.83</v>
      </c>
      <c r="Q26" s="1419">
        <v>165</v>
      </c>
      <c r="R26" s="1420">
        <v>0.32</v>
      </c>
      <c r="S26" s="1419">
        <v>0</v>
      </c>
      <c r="T26" s="1420">
        <v>0</v>
      </c>
      <c r="U26" s="1419">
        <v>0</v>
      </c>
      <c r="V26" s="1420">
        <v>0</v>
      </c>
      <c r="W26" s="1419">
        <v>17824</v>
      </c>
      <c r="X26" s="1420">
        <v>13.25</v>
      </c>
      <c r="Y26" s="1420">
        <v>8.09</v>
      </c>
      <c r="Z26" s="1896" t="s">
        <v>2684</v>
      </c>
      <c r="AA26" s="1418" t="s">
        <v>2515</v>
      </c>
      <c r="AB26" s="1419">
        <v>468847</v>
      </c>
      <c r="AC26" s="1420">
        <v>438.84999999999997</v>
      </c>
      <c r="AD26" s="1419">
        <v>0</v>
      </c>
      <c r="AE26" s="1420">
        <v>0</v>
      </c>
      <c r="AF26" s="1419">
        <v>11381</v>
      </c>
      <c r="AG26" s="1420">
        <v>3.3900000000000006</v>
      </c>
      <c r="AH26" s="1419">
        <v>0</v>
      </c>
      <c r="AI26" s="1420">
        <v>0</v>
      </c>
      <c r="AJ26" s="1419">
        <v>0</v>
      </c>
      <c r="AK26" s="1420">
        <v>0</v>
      </c>
      <c r="AL26" s="1419">
        <v>0</v>
      </c>
      <c r="AM26" s="1420">
        <v>0</v>
      </c>
      <c r="AN26" s="1419">
        <v>480228</v>
      </c>
      <c r="AO26" s="1420">
        <v>442.25</v>
      </c>
      <c r="AP26" s="1419">
        <v>1022</v>
      </c>
      <c r="AQ26" s="1421">
        <v>1.32</v>
      </c>
      <c r="AR26" s="1419">
        <v>0</v>
      </c>
      <c r="AS26" s="1420">
        <v>0</v>
      </c>
      <c r="AT26" s="1419">
        <v>0</v>
      </c>
      <c r="AU26" s="1420">
        <v>0</v>
      </c>
      <c r="AV26" s="1419">
        <v>0</v>
      </c>
      <c r="AW26" s="1420">
        <v>0</v>
      </c>
      <c r="AX26" s="1896" t="s">
        <v>2684</v>
      </c>
      <c r="AY26" s="1418" t="s">
        <v>2515</v>
      </c>
      <c r="AZ26" s="1419">
        <v>0</v>
      </c>
      <c r="BA26" s="1420">
        <v>0</v>
      </c>
      <c r="BB26" s="1419">
        <v>0</v>
      </c>
      <c r="BC26" s="1420">
        <v>0</v>
      </c>
      <c r="BD26" s="1419">
        <v>499074</v>
      </c>
      <c r="BE26" s="1420">
        <v>456.81</v>
      </c>
      <c r="BF26" s="1419">
        <v>2486</v>
      </c>
      <c r="BG26" s="1419">
        <v>124493</v>
      </c>
      <c r="BH26" s="1419">
        <v>3306</v>
      </c>
      <c r="BI26" s="1419">
        <v>130285</v>
      </c>
      <c r="BJ26" s="1419">
        <v>0</v>
      </c>
      <c r="BK26" s="1419">
        <v>0</v>
      </c>
      <c r="BL26" s="1420">
        <v>0</v>
      </c>
      <c r="BM26" s="1419">
        <v>59290</v>
      </c>
      <c r="BN26" s="1419">
        <v>433286</v>
      </c>
      <c r="BO26" s="1420">
        <v>119.14999999999999</v>
      </c>
      <c r="BP26" s="1419">
        <v>396243</v>
      </c>
      <c r="BQ26" s="1419">
        <v>0</v>
      </c>
      <c r="BR26" s="1419">
        <v>0</v>
      </c>
      <c r="BS26" s="1420">
        <v>0</v>
      </c>
      <c r="BT26" s="1419">
        <v>0</v>
      </c>
      <c r="BU26" s="1419">
        <v>220</v>
      </c>
      <c r="BV26" s="1422">
        <v>0</v>
      </c>
    </row>
    <row r="27" spans="1:74" s="1141" customFormat="1" ht="9" customHeight="1">
      <c r="A27" s="1897"/>
      <c r="B27" s="1242" t="s">
        <v>2516</v>
      </c>
      <c r="C27" s="1239">
        <v>44219</v>
      </c>
      <c r="D27" s="1240">
        <v>3459.52</v>
      </c>
      <c r="E27" s="1239">
        <v>1324</v>
      </c>
      <c r="F27" s="1240">
        <v>26.089999999999996</v>
      </c>
      <c r="G27" s="1239">
        <v>45543</v>
      </c>
      <c r="H27" s="1240">
        <v>3485.6000000000004</v>
      </c>
      <c r="I27" s="1239">
        <v>255</v>
      </c>
      <c r="J27" s="1240">
        <v>36.370000000000005</v>
      </c>
      <c r="K27" s="1239">
        <v>0</v>
      </c>
      <c r="L27" s="1240">
        <v>0</v>
      </c>
      <c r="M27" s="1239">
        <v>0</v>
      </c>
      <c r="N27" s="1240">
        <v>0</v>
      </c>
      <c r="O27" s="1239">
        <v>0</v>
      </c>
      <c r="P27" s="1240">
        <v>0</v>
      </c>
      <c r="Q27" s="1239">
        <v>0</v>
      </c>
      <c r="R27" s="1240">
        <v>0</v>
      </c>
      <c r="S27" s="1239">
        <v>0</v>
      </c>
      <c r="T27" s="1240">
        <v>0</v>
      </c>
      <c r="U27" s="1239">
        <v>0</v>
      </c>
      <c r="V27" s="1240">
        <v>0</v>
      </c>
      <c r="W27" s="1239">
        <v>0</v>
      </c>
      <c r="X27" s="1240">
        <v>0</v>
      </c>
      <c r="Y27" s="1240">
        <v>0</v>
      </c>
      <c r="Z27" s="1897"/>
      <c r="AA27" s="1242" t="s">
        <v>2516</v>
      </c>
      <c r="AB27" s="1239">
        <v>12685</v>
      </c>
      <c r="AC27" s="1240">
        <v>9.379999999999999</v>
      </c>
      <c r="AD27" s="1239">
        <v>0</v>
      </c>
      <c r="AE27" s="1240">
        <v>0</v>
      </c>
      <c r="AF27" s="1239">
        <v>253</v>
      </c>
      <c r="AG27" s="1240">
        <v>0.06</v>
      </c>
      <c r="AH27" s="1239">
        <v>0</v>
      </c>
      <c r="AI27" s="1240">
        <v>0</v>
      </c>
      <c r="AJ27" s="1239">
        <v>0</v>
      </c>
      <c r="AK27" s="1240">
        <v>0</v>
      </c>
      <c r="AL27" s="1239">
        <v>0</v>
      </c>
      <c r="AM27" s="1240">
        <v>0</v>
      </c>
      <c r="AN27" s="1239">
        <v>12938</v>
      </c>
      <c r="AO27" s="1240">
        <v>9.4499999999999993</v>
      </c>
      <c r="AP27" s="1239">
        <v>0</v>
      </c>
      <c r="AQ27" s="1241">
        <v>0</v>
      </c>
      <c r="AR27" s="1239">
        <v>0</v>
      </c>
      <c r="AS27" s="1240">
        <v>0</v>
      </c>
      <c r="AT27" s="1239">
        <v>0</v>
      </c>
      <c r="AU27" s="1240">
        <v>0</v>
      </c>
      <c r="AV27" s="1239">
        <v>0</v>
      </c>
      <c r="AW27" s="1240">
        <v>0</v>
      </c>
      <c r="AX27" s="1897"/>
      <c r="AY27" s="1242" t="s">
        <v>2516</v>
      </c>
      <c r="AZ27" s="1239">
        <v>0</v>
      </c>
      <c r="BA27" s="1240">
        <v>0</v>
      </c>
      <c r="BB27" s="1239">
        <v>0</v>
      </c>
      <c r="BC27" s="1240">
        <v>0</v>
      </c>
      <c r="BD27" s="1239">
        <v>12938</v>
      </c>
      <c r="BE27" s="1240">
        <v>1</v>
      </c>
      <c r="BF27" s="1239">
        <v>0</v>
      </c>
      <c r="BG27" s="1239">
        <v>3632</v>
      </c>
      <c r="BH27" s="1239">
        <v>0</v>
      </c>
      <c r="BI27" s="1239">
        <v>3632</v>
      </c>
      <c r="BJ27" s="1239">
        <v>0</v>
      </c>
      <c r="BK27" s="1239">
        <v>0</v>
      </c>
      <c r="BL27" s="1240">
        <v>0</v>
      </c>
      <c r="BM27" s="1239">
        <v>0</v>
      </c>
      <c r="BN27" s="1239">
        <v>0</v>
      </c>
      <c r="BO27" s="1240">
        <v>0</v>
      </c>
      <c r="BP27" s="1239">
        <v>0</v>
      </c>
      <c r="BQ27" s="1239">
        <v>0</v>
      </c>
      <c r="BR27" s="1239">
        <v>0</v>
      </c>
      <c r="BS27" s="1240">
        <v>0</v>
      </c>
      <c r="BT27" s="1239">
        <v>0</v>
      </c>
      <c r="BU27" s="1239">
        <v>6</v>
      </c>
      <c r="BV27" s="1248">
        <v>0</v>
      </c>
    </row>
    <row r="28" spans="1:74" s="1141" customFormat="1" ht="10.35" customHeight="1">
      <c r="A28" s="1897"/>
      <c r="B28" s="1135" t="s">
        <v>2517</v>
      </c>
      <c r="C28" s="1234">
        <v>3958021</v>
      </c>
      <c r="D28" s="1235">
        <v>323903.93</v>
      </c>
      <c r="E28" s="1234">
        <v>3928</v>
      </c>
      <c r="F28" s="1235">
        <v>111.03</v>
      </c>
      <c r="G28" s="1234">
        <v>3961949</v>
      </c>
      <c r="H28" s="1235">
        <v>324014.95</v>
      </c>
      <c r="I28" s="1234">
        <v>2163952</v>
      </c>
      <c r="J28" s="1235">
        <v>15923</v>
      </c>
      <c r="K28" s="1234">
        <v>275565</v>
      </c>
      <c r="L28" s="1235">
        <v>183.2</v>
      </c>
      <c r="M28" s="1234">
        <v>9616</v>
      </c>
      <c r="N28" s="1235">
        <v>13.93</v>
      </c>
      <c r="O28" s="1234">
        <v>1754231</v>
      </c>
      <c r="P28" s="1235">
        <v>1015.2199999999999</v>
      </c>
      <c r="Q28" s="1234">
        <v>294974</v>
      </c>
      <c r="R28" s="1235">
        <v>309.75</v>
      </c>
      <c r="S28" s="1234">
        <v>168979</v>
      </c>
      <c r="T28" s="1235">
        <v>38.009999999999991</v>
      </c>
      <c r="U28" s="1234">
        <v>85031</v>
      </c>
      <c r="V28" s="1235">
        <v>85.47999999999999</v>
      </c>
      <c r="W28" s="1234">
        <v>2588396</v>
      </c>
      <c r="X28" s="1235">
        <v>1645.6800000000003</v>
      </c>
      <c r="Y28" s="1235">
        <v>2571.1</v>
      </c>
      <c r="Z28" s="1897"/>
      <c r="AA28" s="1135" t="s">
        <v>2517</v>
      </c>
      <c r="AB28" s="1234">
        <v>33743514</v>
      </c>
      <c r="AC28" s="1235">
        <v>24266.54</v>
      </c>
      <c r="AD28" s="1234">
        <v>908</v>
      </c>
      <c r="AE28" s="1235">
        <v>1.74</v>
      </c>
      <c r="AF28" s="1234">
        <v>1473662</v>
      </c>
      <c r="AG28" s="1235">
        <v>1213.1499999999996</v>
      </c>
      <c r="AH28" s="1234">
        <v>5960</v>
      </c>
      <c r="AI28" s="1235">
        <v>11.51</v>
      </c>
      <c r="AJ28" s="1234">
        <v>174262</v>
      </c>
      <c r="AK28" s="1235">
        <v>40.019999999999996</v>
      </c>
      <c r="AL28" s="1234">
        <v>1908</v>
      </c>
      <c r="AM28" s="1235">
        <v>1.6099999999999999</v>
      </c>
      <c r="AN28" s="1234">
        <v>35400214</v>
      </c>
      <c r="AO28" s="1235">
        <v>25534.500000000004</v>
      </c>
      <c r="AP28" s="1234">
        <v>174436</v>
      </c>
      <c r="AQ28" s="1236">
        <v>120.87999999999997</v>
      </c>
      <c r="AR28" s="1234">
        <v>25975</v>
      </c>
      <c r="AS28" s="1235">
        <v>15.54</v>
      </c>
      <c r="AT28" s="1234">
        <v>111089</v>
      </c>
      <c r="AU28" s="1235">
        <v>150.76999999999998</v>
      </c>
      <c r="AV28" s="1234">
        <v>236666</v>
      </c>
      <c r="AW28" s="1235">
        <v>234.64000000000001</v>
      </c>
      <c r="AX28" s="1897"/>
      <c r="AY28" s="1135" t="s">
        <v>2517</v>
      </c>
      <c r="AZ28" s="1234">
        <v>133880</v>
      </c>
      <c r="BA28" s="1235">
        <v>30.53</v>
      </c>
      <c r="BB28" s="1234">
        <v>481635</v>
      </c>
      <c r="BC28" s="1235">
        <v>415.99</v>
      </c>
      <c r="BD28" s="1234">
        <v>38664696</v>
      </c>
      <c r="BE28" s="1235">
        <v>27721.19</v>
      </c>
      <c r="BF28" s="1234">
        <v>846818</v>
      </c>
      <c r="BG28" s="1234">
        <v>9512285</v>
      </c>
      <c r="BH28" s="1234">
        <v>154137</v>
      </c>
      <c r="BI28" s="1234">
        <v>10513240</v>
      </c>
      <c r="BJ28" s="1234">
        <v>1391142</v>
      </c>
      <c r="BK28" s="1234">
        <v>1159128</v>
      </c>
      <c r="BL28" s="1235">
        <v>1797.7399999999998</v>
      </c>
      <c r="BM28" s="1234">
        <v>650736</v>
      </c>
      <c r="BN28" s="1234">
        <v>391359136</v>
      </c>
      <c r="BO28" s="1235">
        <v>65720.66</v>
      </c>
      <c r="BP28" s="1234">
        <v>40650876</v>
      </c>
      <c r="BQ28" s="1234">
        <v>2334</v>
      </c>
      <c r="BR28" s="1234">
        <v>1577540</v>
      </c>
      <c r="BS28" s="1235">
        <v>2831.7599999999998</v>
      </c>
      <c r="BT28" s="1234">
        <v>525144</v>
      </c>
      <c r="BU28" s="1234">
        <v>8628</v>
      </c>
      <c r="BV28" s="1247">
        <v>32953</v>
      </c>
    </row>
    <row r="29" spans="1:74" s="1141" customFormat="1" ht="10.35" customHeight="1">
      <c r="A29" s="1897"/>
      <c r="B29" s="1242" t="s">
        <v>2541</v>
      </c>
      <c r="C29" s="1239">
        <v>472870</v>
      </c>
      <c r="D29" s="1240">
        <v>38065.58</v>
      </c>
      <c r="E29" s="1239">
        <v>0</v>
      </c>
      <c r="F29" s="1240">
        <v>0</v>
      </c>
      <c r="G29" s="1239">
        <v>472870</v>
      </c>
      <c r="H29" s="1240">
        <v>38065.58</v>
      </c>
      <c r="I29" s="1239">
        <v>783774</v>
      </c>
      <c r="J29" s="1240">
        <v>7418.8300000000008</v>
      </c>
      <c r="K29" s="1239">
        <v>24516</v>
      </c>
      <c r="L29" s="1240">
        <v>22.65</v>
      </c>
      <c r="M29" s="1239">
        <v>401</v>
      </c>
      <c r="N29" s="1240">
        <v>0.43000000000000005</v>
      </c>
      <c r="O29" s="1239">
        <v>645691</v>
      </c>
      <c r="P29" s="1240">
        <v>299.59000000000003</v>
      </c>
      <c r="Q29" s="1239">
        <v>20873</v>
      </c>
      <c r="R29" s="1240">
        <v>20.32</v>
      </c>
      <c r="S29" s="1239">
        <v>72606</v>
      </c>
      <c r="T29" s="1240">
        <v>17.14</v>
      </c>
      <c r="U29" s="1239">
        <v>6177</v>
      </c>
      <c r="V29" s="1240">
        <v>4.5</v>
      </c>
      <c r="W29" s="1239">
        <v>770264</v>
      </c>
      <c r="X29" s="1240">
        <v>364.64</v>
      </c>
      <c r="Y29" s="1240">
        <v>611.31999999999994</v>
      </c>
      <c r="Z29" s="1897"/>
      <c r="AA29" s="1242" t="s">
        <v>2541</v>
      </c>
      <c r="AB29" s="1239">
        <v>1527551</v>
      </c>
      <c r="AC29" s="1240">
        <v>1764.68</v>
      </c>
      <c r="AD29" s="1239">
        <v>2963</v>
      </c>
      <c r="AE29" s="1240">
        <v>7.5200000000000005</v>
      </c>
      <c r="AF29" s="1239">
        <v>274264</v>
      </c>
      <c r="AG29" s="1240">
        <v>90.07</v>
      </c>
      <c r="AH29" s="1239">
        <v>7130</v>
      </c>
      <c r="AI29" s="1240">
        <v>10.75</v>
      </c>
      <c r="AJ29" s="1239">
        <v>35629</v>
      </c>
      <c r="AK29" s="1240">
        <v>2.9699999999999998</v>
      </c>
      <c r="AL29" s="1239">
        <v>3522</v>
      </c>
      <c r="AM29" s="1240">
        <v>4.58</v>
      </c>
      <c r="AN29" s="1239">
        <v>1851059</v>
      </c>
      <c r="AO29" s="1240">
        <v>1880.62</v>
      </c>
      <c r="AP29" s="1239">
        <v>0</v>
      </c>
      <c r="AQ29" s="1241">
        <v>0</v>
      </c>
      <c r="AR29" s="1239">
        <v>1876</v>
      </c>
      <c r="AS29" s="1240">
        <v>2.35</v>
      </c>
      <c r="AT29" s="1239">
        <v>36297</v>
      </c>
      <c r="AU29" s="1240">
        <v>82.389999999999986</v>
      </c>
      <c r="AV29" s="1239">
        <v>0</v>
      </c>
      <c r="AW29" s="1240">
        <v>0</v>
      </c>
      <c r="AX29" s="1897"/>
      <c r="AY29" s="1242" t="s">
        <v>2541</v>
      </c>
      <c r="AZ29" s="1239">
        <v>0</v>
      </c>
      <c r="BA29" s="1240">
        <v>0</v>
      </c>
      <c r="BB29" s="1239">
        <v>36297</v>
      </c>
      <c r="BC29" s="1240">
        <v>82.389999999999986</v>
      </c>
      <c r="BD29" s="1239">
        <v>2652366</v>
      </c>
      <c r="BE29" s="1240">
        <v>2319.25</v>
      </c>
      <c r="BF29" s="1239">
        <v>97650</v>
      </c>
      <c r="BG29" s="1239">
        <v>308280</v>
      </c>
      <c r="BH29" s="1239">
        <v>18742</v>
      </c>
      <c r="BI29" s="1239">
        <v>424672</v>
      </c>
      <c r="BJ29" s="1239">
        <v>135446</v>
      </c>
      <c r="BK29" s="1239">
        <v>477371</v>
      </c>
      <c r="BL29" s="1240">
        <v>6064.77</v>
      </c>
      <c r="BM29" s="1239">
        <v>0</v>
      </c>
      <c r="BN29" s="1239">
        <v>0</v>
      </c>
      <c r="BO29" s="1240">
        <v>0</v>
      </c>
      <c r="BP29" s="1239">
        <v>0</v>
      </c>
      <c r="BQ29" s="1239">
        <v>0</v>
      </c>
      <c r="BR29" s="1239">
        <v>0</v>
      </c>
      <c r="BS29" s="1240">
        <v>0</v>
      </c>
      <c r="BT29" s="1239">
        <v>0</v>
      </c>
      <c r="BU29" s="1239">
        <v>165</v>
      </c>
      <c r="BV29" s="1248">
        <v>0</v>
      </c>
    </row>
    <row r="30" spans="1:74" s="1141" customFormat="1" ht="10.35" customHeight="1">
      <c r="A30" s="1898"/>
      <c r="B30" s="1140" t="s">
        <v>1128</v>
      </c>
      <c r="C30" s="1189">
        <v>5552938</v>
      </c>
      <c r="D30" s="1190">
        <v>463443.26</v>
      </c>
      <c r="E30" s="1189">
        <v>5953</v>
      </c>
      <c r="F30" s="1190">
        <v>223.07</v>
      </c>
      <c r="G30" s="1189">
        <v>5558891</v>
      </c>
      <c r="H30" s="1190">
        <v>463666.31000000006</v>
      </c>
      <c r="I30" s="1189">
        <v>3010107</v>
      </c>
      <c r="J30" s="1190">
        <v>23843.54</v>
      </c>
      <c r="K30" s="1189">
        <v>311940</v>
      </c>
      <c r="L30" s="1190">
        <v>216.92</v>
      </c>
      <c r="M30" s="1189">
        <v>10022</v>
      </c>
      <c r="N30" s="1190">
        <v>14.37</v>
      </c>
      <c r="O30" s="1189">
        <v>2405717</v>
      </c>
      <c r="P30" s="1190">
        <v>1316.6399999999999</v>
      </c>
      <c r="Q30" s="1189">
        <v>316012</v>
      </c>
      <c r="R30" s="1190">
        <v>330.39</v>
      </c>
      <c r="S30" s="1189">
        <v>241585</v>
      </c>
      <c r="T30" s="1190">
        <v>55.149999999999991</v>
      </c>
      <c r="U30" s="1189">
        <v>91208</v>
      </c>
      <c r="V30" s="1190">
        <v>89.97999999999999</v>
      </c>
      <c r="W30" s="1189">
        <v>3376484</v>
      </c>
      <c r="X30" s="1190">
        <v>2023.5700000000002</v>
      </c>
      <c r="Y30" s="1190">
        <v>3190.51</v>
      </c>
      <c r="Z30" s="1898"/>
      <c r="AA30" s="1140" t="s">
        <v>1128</v>
      </c>
      <c r="AB30" s="1189">
        <v>35752597</v>
      </c>
      <c r="AC30" s="1190">
        <v>26479.45</v>
      </c>
      <c r="AD30" s="1189">
        <v>3871</v>
      </c>
      <c r="AE30" s="1190">
        <v>9.26</v>
      </c>
      <c r="AF30" s="1189">
        <v>1759560</v>
      </c>
      <c r="AG30" s="1190">
        <v>1306.6699999999996</v>
      </c>
      <c r="AH30" s="1189">
        <v>13090</v>
      </c>
      <c r="AI30" s="1190">
        <v>22.259999999999998</v>
      </c>
      <c r="AJ30" s="1189">
        <v>209891</v>
      </c>
      <c r="AK30" s="1190">
        <v>42.989999999999995</v>
      </c>
      <c r="AL30" s="1189">
        <v>5430</v>
      </c>
      <c r="AM30" s="1190">
        <v>6.1899999999999995</v>
      </c>
      <c r="AN30" s="1189">
        <v>37744439</v>
      </c>
      <c r="AO30" s="1190">
        <v>27866.820000000003</v>
      </c>
      <c r="AP30" s="1189">
        <v>175458</v>
      </c>
      <c r="AQ30" s="1213">
        <v>122.19999999999996</v>
      </c>
      <c r="AR30" s="1189">
        <v>27851</v>
      </c>
      <c r="AS30" s="1190">
        <v>17.89</v>
      </c>
      <c r="AT30" s="1189">
        <v>147386</v>
      </c>
      <c r="AU30" s="1190">
        <v>233.15999999999997</v>
      </c>
      <c r="AV30" s="1189">
        <v>236666</v>
      </c>
      <c r="AW30" s="1190">
        <v>234.64000000000001</v>
      </c>
      <c r="AX30" s="1898"/>
      <c r="AY30" s="1140" t="s">
        <v>1128</v>
      </c>
      <c r="AZ30" s="1189">
        <v>133880</v>
      </c>
      <c r="BA30" s="1190">
        <v>30.53</v>
      </c>
      <c r="BB30" s="1189">
        <v>517932</v>
      </c>
      <c r="BC30" s="1190">
        <v>498.38</v>
      </c>
      <c r="BD30" s="1189">
        <v>41829074</v>
      </c>
      <c r="BE30" s="1190">
        <v>30498.25</v>
      </c>
      <c r="BF30" s="1189">
        <v>946954</v>
      </c>
      <c r="BG30" s="1189">
        <v>9948690</v>
      </c>
      <c r="BH30" s="1189">
        <v>176185</v>
      </c>
      <c r="BI30" s="1189">
        <v>11071829</v>
      </c>
      <c r="BJ30" s="1189">
        <v>1526588</v>
      </c>
      <c r="BK30" s="1189">
        <v>1636499</v>
      </c>
      <c r="BL30" s="1190">
        <v>7862.51</v>
      </c>
      <c r="BM30" s="1189">
        <v>710026</v>
      </c>
      <c r="BN30" s="1189">
        <v>391792422</v>
      </c>
      <c r="BO30" s="1190">
        <v>65839.81</v>
      </c>
      <c r="BP30" s="1189">
        <v>41047119</v>
      </c>
      <c r="BQ30" s="1189">
        <v>2334</v>
      </c>
      <c r="BR30" s="1514">
        <v>1577540</v>
      </c>
      <c r="BS30" s="1190">
        <v>2831.7599999999998</v>
      </c>
      <c r="BT30" s="1189">
        <v>525144</v>
      </c>
      <c r="BU30" s="1189">
        <v>9019</v>
      </c>
      <c r="BV30" s="1191">
        <v>32953</v>
      </c>
    </row>
    <row r="31" spans="1:74" s="1141" customFormat="1" ht="10.35" customHeight="1">
      <c r="A31" s="1897" t="s">
        <v>1206</v>
      </c>
      <c r="B31" s="1492" t="s">
        <v>2515</v>
      </c>
      <c r="C31" s="1266">
        <v>326882</v>
      </c>
      <c r="D31" s="1267">
        <v>29436.29</v>
      </c>
      <c r="E31" s="1266">
        <v>222</v>
      </c>
      <c r="F31" s="1267">
        <v>25.07</v>
      </c>
      <c r="G31" s="1266">
        <v>327104</v>
      </c>
      <c r="H31" s="1267">
        <v>29461.360000000001</v>
      </c>
      <c r="I31" s="1266">
        <v>18356</v>
      </c>
      <c r="J31" s="1267">
        <v>126.77000000000001</v>
      </c>
      <c r="K31" s="1266">
        <v>3686</v>
      </c>
      <c r="L31" s="1267">
        <v>3.88</v>
      </c>
      <c r="M31" s="1266">
        <v>0</v>
      </c>
      <c r="N31" s="1267">
        <v>0</v>
      </c>
      <c r="O31" s="1266">
        <v>1234</v>
      </c>
      <c r="P31" s="1267">
        <v>0.44</v>
      </c>
      <c r="Q31" s="1266">
        <v>16</v>
      </c>
      <c r="R31" s="1267">
        <v>0.02</v>
      </c>
      <c r="S31" s="1266">
        <v>0</v>
      </c>
      <c r="T31" s="1267">
        <v>0</v>
      </c>
      <c r="U31" s="1266">
        <v>0</v>
      </c>
      <c r="V31" s="1267">
        <v>0</v>
      </c>
      <c r="W31" s="1266">
        <v>4936</v>
      </c>
      <c r="X31" s="1267">
        <v>4.34</v>
      </c>
      <c r="Y31" s="1493">
        <v>8.5500000000000007</v>
      </c>
      <c r="Z31" s="1897" t="s">
        <v>1206</v>
      </c>
      <c r="AA31" s="1492" t="s">
        <v>2515</v>
      </c>
      <c r="AB31" s="1266">
        <v>149986</v>
      </c>
      <c r="AC31" s="1267">
        <v>147.12</v>
      </c>
      <c r="AD31" s="1266">
        <v>0</v>
      </c>
      <c r="AE31" s="1267">
        <v>0</v>
      </c>
      <c r="AF31" s="1266">
        <v>3922</v>
      </c>
      <c r="AG31" s="1267">
        <v>1.1400000000000001</v>
      </c>
      <c r="AH31" s="1266">
        <v>0</v>
      </c>
      <c r="AI31" s="1267">
        <v>0</v>
      </c>
      <c r="AJ31" s="1266">
        <v>0</v>
      </c>
      <c r="AK31" s="1267">
        <v>0</v>
      </c>
      <c r="AL31" s="1266">
        <v>0</v>
      </c>
      <c r="AM31" s="1267">
        <v>0</v>
      </c>
      <c r="AN31" s="1266">
        <v>153908</v>
      </c>
      <c r="AO31" s="1267">
        <v>148.26</v>
      </c>
      <c r="AP31" s="1266">
        <v>6</v>
      </c>
      <c r="AQ31" s="1269">
        <v>0</v>
      </c>
      <c r="AR31" s="1266">
        <v>0</v>
      </c>
      <c r="AS31" s="1267">
        <v>0</v>
      </c>
      <c r="AT31" s="1266">
        <v>0</v>
      </c>
      <c r="AU31" s="1267">
        <v>0</v>
      </c>
      <c r="AV31" s="1266">
        <v>0</v>
      </c>
      <c r="AW31" s="1493">
        <v>0</v>
      </c>
      <c r="AX31" s="1897" t="s">
        <v>1206</v>
      </c>
      <c r="AY31" s="1492" t="s">
        <v>2515</v>
      </c>
      <c r="AZ31" s="1266">
        <v>0</v>
      </c>
      <c r="BA31" s="1267">
        <v>0</v>
      </c>
      <c r="BB31" s="1266">
        <v>0</v>
      </c>
      <c r="BC31" s="1267">
        <v>0</v>
      </c>
      <c r="BD31" s="1266">
        <v>158850</v>
      </c>
      <c r="BE31" s="1267">
        <v>152.6</v>
      </c>
      <c r="BF31" s="1266">
        <v>2367</v>
      </c>
      <c r="BG31" s="1266">
        <v>115581</v>
      </c>
      <c r="BH31" s="1266">
        <v>2641</v>
      </c>
      <c r="BI31" s="1266">
        <v>120589</v>
      </c>
      <c r="BJ31" s="1266">
        <v>0</v>
      </c>
      <c r="BK31" s="1266">
        <v>0</v>
      </c>
      <c r="BL31" s="1267">
        <v>0</v>
      </c>
      <c r="BM31" s="1266">
        <v>24288</v>
      </c>
      <c r="BN31" s="1266">
        <v>74459</v>
      </c>
      <c r="BO31" s="1267">
        <v>13.39</v>
      </c>
      <c r="BP31" s="1266">
        <v>260679</v>
      </c>
      <c r="BQ31" s="1266">
        <v>0</v>
      </c>
      <c r="BR31" s="1266">
        <v>0</v>
      </c>
      <c r="BS31" s="1267">
        <v>0</v>
      </c>
      <c r="BT31" s="1266">
        <v>0</v>
      </c>
      <c r="BU31" s="1266">
        <v>216</v>
      </c>
      <c r="BV31" s="1246">
        <v>0</v>
      </c>
    </row>
    <row r="32" spans="1:74" s="1141" customFormat="1" ht="10.35" customHeight="1">
      <c r="A32" s="1897"/>
      <c r="B32" s="1352" t="s">
        <v>2516</v>
      </c>
      <c r="C32" s="1234">
        <v>12899</v>
      </c>
      <c r="D32" s="1235">
        <v>1539.0700000000002</v>
      </c>
      <c r="E32" s="1234">
        <v>408</v>
      </c>
      <c r="F32" s="1235">
        <v>8.06</v>
      </c>
      <c r="G32" s="1234">
        <v>13307</v>
      </c>
      <c r="H32" s="1235">
        <v>1547.13</v>
      </c>
      <c r="I32" s="1234">
        <v>61</v>
      </c>
      <c r="J32" s="1235">
        <v>44.05</v>
      </c>
      <c r="K32" s="1234">
        <v>0</v>
      </c>
      <c r="L32" s="1235">
        <v>0</v>
      </c>
      <c r="M32" s="1234">
        <v>0</v>
      </c>
      <c r="N32" s="1235">
        <v>0</v>
      </c>
      <c r="O32" s="1234">
        <v>0</v>
      </c>
      <c r="P32" s="1235">
        <v>0</v>
      </c>
      <c r="Q32" s="1234">
        <v>0</v>
      </c>
      <c r="R32" s="1235">
        <v>0</v>
      </c>
      <c r="S32" s="1234">
        <v>0</v>
      </c>
      <c r="T32" s="1235">
        <v>0</v>
      </c>
      <c r="U32" s="1234">
        <v>0</v>
      </c>
      <c r="V32" s="1235">
        <v>0</v>
      </c>
      <c r="W32" s="1234">
        <v>0</v>
      </c>
      <c r="X32" s="1235">
        <v>0</v>
      </c>
      <c r="Y32" s="1235">
        <v>0</v>
      </c>
      <c r="Z32" s="1897"/>
      <c r="AA32" s="1352" t="s">
        <v>2516</v>
      </c>
      <c r="AB32" s="1353">
        <v>3686</v>
      </c>
      <c r="AC32" s="1354">
        <v>3.05</v>
      </c>
      <c r="AD32" s="1353">
        <v>0</v>
      </c>
      <c r="AE32" s="1354">
        <v>0</v>
      </c>
      <c r="AF32" s="1353">
        <v>87</v>
      </c>
      <c r="AG32" s="1354">
        <v>0.02</v>
      </c>
      <c r="AH32" s="1353">
        <v>0</v>
      </c>
      <c r="AI32" s="1354">
        <v>0</v>
      </c>
      <c r="AJ32" s="1353">
        <v>0</v>
      </c>
      <c r="AK32" s="1354">
        <v>0</v>
      </c>
      <c r="AL32" s="1353">
        <v>0</v>
      </c>
      <c r="AM32" s="1354">
        <v>0</v>
      </c>
      <c r="AN32" s="1353">
        <v>3773</v>
      </c>
      <c r="AO32" s="1354">
        <v>3.07</v>
      </c>
      <c r="AP32" s="1353">
        <v>0</v>
      </c>
      <c r="AQ32" s="1358">
        <v>0</v>
      </c>
      <c r="AR32" s="1353">
        <v>0</v>
      </c>
      <c r="AS32" s="1354">
        <v>0</v>
      </c>
      <c r="AT32" s="1353">
        <v>0</v>
      </c>
      <c r="AU32" s="1354">
        <v>0</v>
      </c>
      <c r="AV32" s="1353">
        <v>0</v>
      </c>
      <c r="AW32" s="1354">
        <v>0</v>
      </c>
      <c r="AX32" s="1897"/>
      <c r="AY32" s="1352" t="s">
        <v>2516</v>
      </c>
      <c r="AZ32" s="1353">
        <v>0</v>
      </c>
      <c r="BA32" s="1354">
        <v>0</v>
      </c>
      <c r="BB32" s="1353">
        <v>0</v>
      </c>
      <c r="BC32" s="1354">
        <v>0</v>
      </c>
      <c r="BD32" s="1353">
        <v>3773</v>
      </c>
      <c r="BE32" s="1354">
        <v>3.07</v>
      </c>
      <c r="BF32" s="1353">
        <v>0</v>
      </c>
      <c r="BG32" s="1353">
        <v>3494</v>
      </c>
      <c r="BH32" s="1353">
        <v>0</v>
      </c>
      <c r="BI32" s="1353">
        <v>3494</v>
      </c>
      <c r="BJ32" s="1353">
        <v>0</v>
      </c>
      <c r="BK32" s="1353">
        <v>0</v>
      </c>
      <c r="BL32" s="1354">
        <v>0</v>
      </c>
      <c r="BM32" s="1353">
        <v>0</v>
      </c>
      <c r="BN32" s="1353">
        <v>0</v>
      </c>
      <c r="BO32" s="1354">
        <v>0</v>
      </c>
      <c r="BP32" s="1353">
        <v>0</v>
      </c>
      <c r="BQ32" s="1353">
        <v>0</v>
      </c>
      <c r="BR32" s="1353">
        <v>0</v>
      </c>
      <c r="BS32" s="1354">
        <v>0</v>
      </c>
      <c r="BT32" s="1353">
        <v>0</v>
      </c>
      <c r="BU32" s="1353">
        <v>5</v>
      </c>
      <c r="BV32" s="1360">
        <v>0</v>
      </c>
    </row>
    <row r="33" spans="1:74" s="1141" customFormat="1" ht="10.35" customHeight="1">
      <c r="A33" s="1897"/>
      <c r="B33" s="1242" t="s">
        <v>2517</v>
      </c>
      <c r="C33" s="1239">
        <v>1161656</v>
      </c>
      <c r="D33" s="1240">
        <v>96442.28</v>
      </c>
      <c r="E33" s="1239">
        <v>958</v>
      </c>
      <c r="F33" s="1240">
        <v>42.95</v>
      </c>
      <c r="G33" s="1239">
        <v>1162614</v>
      </c>
      <c r="H33" s="1240">
        <v>96485.24</v>
      </c>
      <c r="I33" s="1239">
        <v>754022</v>
      </c>
      <c r="J33" s="1240">
        <v>4667.0699999999988</v>
      </c>
      <c r="K33" s="1239">
        <v>72105</v>
      </c>
      <c r="L33" s="1240">
        <v>50.49</v>
      </c>
      <c r="M33" s="1239">
        <v>3493</v>
      </c>
      <c r="N33" s="1240">
        <v>6.7500000000000009</v>
      </c>
      <c r="O33" s="1239">
        <v>566025</v>
      </c>
      <c r="P33" s="1240">
        <v>325.82999999999993</v>
      </c>
      <c r="Q33" s="1239">
        <v>105269</v>
      </c>
      <c r="R33" s="1240">
        <v>120.67</v>
      </c>
      <c r="S33" s="1239">
        <v>45353</v>
      </c>
      <c r="T33" s="1240">
        <v>8.389999999999997</v>
      </c>
      <c r="U33" s="1239">
        <v>22647</v>
      </c>
      <c r="V33" s="1240">
        <v>24.38</v>
      </c>
      <c r="W33" s="1239">
        <v>814892</v>
      </c>
      <c r="X33" s="1240">
        <v>536.53</v>
      </c>
      <c r="Y33" s="1240">
        <v>2461.5299999999997</v>
      </c>
      <c r="Z33" s="1897"/>
      <c r="AA33" s="1242" t="s">
        <v>2517</v>
      </c>
      <c r="AB33" s="1239">
        <v>11029246</v>
      </c>
      <c r="AC33" s="1240">
        <v>8320.1799999999967</v>
      </c>
      <c r="AD33" s="1239">
        <v>348</v>
      </c>
      <c r="AE33" s="1240">
        <v>0.73</v>
      </c>
      <c r="AF33" s="1239">
        <v>491269</v>
      </c>
      <c r="AG33" s="1240">
        <v>400.81000000000006</v>
      </c>
      <c r="AH33" s="1239">
        <v>1914</v>
      </c>
      <c r="AI33" s="1240">
        <v>3.68</v>
      </c>
      <c r="AJ33" s="1239">
        <v>54397</v>
      </c>
      <c r="AK33" s="1240">
        <v>9.3499999999999979</v>
      </c>
      <c r="AL33" s="1239">
        <v>555</v>
      </c>
      <c r="AM33" s="1240">
        <v>0.54</v>
      </c>
      <c r="AN33" s="1239">
        <v>11577729</v>
      </c>
      <c r="AO33" s="1240">
        <v>8735.2999999999993</v>
      </c>
      <c r="AP33" s="1239">
        <v>58269</v>
      </c>
      <c r="AQ33" s="1241">
        <v>41.249999999999993</v>
      </c>
      <c r="AR33" s="1239">
        <v>7049</v>
      </c>
      <c r="AS33" s="1240">
        <v>21.22</v>
      </c>
      <c r="AT33" s="1239">
        <v>60317</v>
      </c>
      <c r="AU33" s="1240">
        <v>72.400000000000006</v>
      </c>
      <c r="AV33" s="1239">
        <v>75187</v>
      </c>
      <c r="AW33" s="1240">
        <v>63.329999999999991</v>
      </c>
      <c r="AX33" s="1897"/>
      <c r="AY33" s="1242" t="s">
        <v>2517</v>
      </c>
      <c r="AZ33" s="1239">
        <v>53031</v>
      </c>
      <c r="BA33" s="1240">
        <v>7.6000000000000005</v>
      </c>
      <c r="BB33" s="1239">
        <v>188535</v>
      </c>
      <c r="BC33" s="1240">
        <v>143.32999999999998</v>
      </c>
      <c r="BD33" s="1239">
        <v>12644560</v>
      </c>
      <c r="BE33" s="1240">
        <v>9473.9199999999983</v>
      </c>
      <c r="BF33" s="1239">
        <v>705299</v>
      </c>
      <c r="BG33" s="1239">
        <v>8941959</v>
      </c>
      <c r="BH33" s="1239">
        <v>148659</v>
      </c>
      <c r="BI33" s="1239">
        <v>9795917</v>
      </c>
      <c r="BJ33" s="1239">
        <v>1340651</v>
      </c>
      <c r="BK33" s="1239">
        <v>520455</v>
      </c>
      <c r="BL33" s="1240">
        <v>1043.04</v>
      </c>
      <c r="BM33" s="1239">
        <v>629290</v>
      </c>
      <c r="BN33" s="1239">
        <v>117579157</v>
      </c>
      <c r="BO33" s="1240">
        <v>19460.349999999999</v>
      </c>
      <c r="BP33" s="1239">
        <v>37837707</v>
      </c>
      <c r="BQ33" s="1239">
        <v>1279</v>
      </c>
      <c r="BR33" s="1239">
        <v>411698</v>
      </c>
      <c r="BS33" s="1240">
        <v>843.94</v>
      </c>
      <c r="BT33" s="1239">
        <v>382848</v>
      </c>
      <c r="BU33" s="1239">
        <v>8302</v>
      </c>
      <c r="BV33" s="1248">
        <v>31692</v>
      </c>
    </row>
    <row r="34" spans="1:74" s="1141" customFormat="1" ht="9" customHeight="1">
      <c r="A34" s="1897"/>
      <c r="B34" s="1352" t="s">
        <v>2541</v>
      </c>
      <c r="C34" s="1234">
        <v>140736</v>
      </c>
      <c r="D34" s="1235">
        <v>15398.320000000002</v>
      </c>
      <c r="E34" s="1234">
        <v>4</v>
      </c>
      <c r="F34" s="1235">
        <v>0.11</v>
      </c>
      <c r="G34" s="1234">
        <v>140740</v>
      </c>
      <c r="H34" s="1235">
        <v>15398.43</v>
      </c>
      <c r="I34" s="1234">
        <v>246048</v>
      </c>
      <c r="J34" s="1235">
        <v>2114.0699999999997</v>
      </c>
      <c r="K34" s="1234">
        <v>6960</v>
      </c>
      <c r="L34" s="1235">
        <v>7.02</v>
      </c>
      <c r="M34" s="1234">
        <v>135</v>
      </c>
      <c r="N34" s="1235">
        <v>0.16</v>
      </c>
      <c r="O34" s="1234">
        <v>191791</v>
      </c>
      <c r="P34" s="1235">
        <v>92.600000000000009</v>
      </c>
      <c r="Q34" s="1234">
        <v>6092</v>
      </c>
      <c r="R34" s="1235">
        <v>6.28</v>
      </c>
      <c r="S34" s="1234">
        <v>18997</v>
      </c>
      <c r="T34" s="1235">
        <v>4.2299999999999995</v>
      </c>
      <c r="U34" s="1234">
        <v>1469</v>
      </c>
      <c r="V34" s="1235">
        <v>1.19</v>
      </c>
      <c r="W34" s="1234">
        <v>225444</v>
      </c>
      <c r="X34" s="1235">
        <v>111.47</v>
      </c>
      <c r="Y34" s="1235">
        <v>623.70999999999992</v>
      </c>
      <c r="Z34" s="1897"/>
      <c r="AA34" s="1352" t="s">
        <v>2541</v>
      </c>
      <c r="AB34" s="1353">
        <v>531688</v>
      </c>
      <c r="AC34" s="1354">
        <v>663.7700000000001</v>
      </c>
      <c r="AD34" s="1353">
        <v>1528</v>
      </c>
      <c r="AE34" s="1354">
        <v>4.2799999999999994</v>
      </c>
      <c r="AF34" s="1353">
        <v>87110</v>
      </c>
      <c r="AG34" s="1354">
        <v>31.139999999999997</v>
      </c>
      <c r="AH34" s="1353">
        <v>2726</v>
      </c>
      <c r="AI34" s="1354">
        <v>4.3100000000000005</v>
      </c>
      <c r="AJ34" s="1353">
        <v>11464</v>
      </c>
      <c r="AK34" s="1354">
        <v>0.89</v>
      </c>
      <c r="AL34" s="1353">
        <v>565</v>
      </c>
      <c r="AM34" s="1354">
        <v>0.93</v>
      </c>
      <c r="AN34" s="1353">
        <v>635081</v>
      </c>
      <c r="AO34" s="1354">
        <v>705.33</v>
      </c>
      <c r="AP34" s="1353">
        <v>0</v>
      </c>
      <c r="AQ34" s="1358">
        <v>0</v>
      </c>
      <c r="AR34" s="1353">
        <v>894</v>
      </c>
      <c r="AS34" s="1354">
        <v>0.92</v>
      </c>
      <c r="AT34" s="1353">
        <v>12330</v>
      </c>
      <c r="AU34" s="1354">
        <v>27.279999999999998</v>
      </c>
      <c r="AV34" s="1353">
        <v>0</v>
      </c>
      <c r="AW34" s="1354">
        <v>0</v>
      </c>
      <c r="AX34" s="1897"/>
      <c r="AY34" s="1352" t="s">
        <v>2541</v>
      </c>
      <c r="AZ34" s="1353">
        <v>0</v>
      </c>
      <c r="BA34" s="1354">
        <v>0</v>
      </c>
      <c r="BB34" s="1353">
        <v>12330</v>
      </c>
      <c r="BC34" s="1354">
        <v>27.279999999999998</v>
      </c>
      <c r="BD34" s="1353">
        <v>871023</v>
      </c>
      <c r="BE34" s="1354">
        <v>840.68999999999994</v>
      </c>
      <c r="BF34" s="1353">
        <v>93958</v>
      </c>
      <c r="BG34" s="1353">
        <v>301399</v>
      </c>
      <c r="BH34" s="1353">
        <v>14550</v>
      </c>
      <c r="BI34" s="1353">
        <v>409907</v>
      </c>
      <c r="BJ34" s="1353">
        <v>137790</v>
      </c>
      <c r="BK34" s="1353">
        <v>153593</v>
      </c>
      <c r="BL34" s="1354">
        <v>1775.5300000000002</v>
      </c>
      <c r="BM34" s="1353">
        <v>0</v>
      </c>
      <c r="BN34" s="1353">
        <v>0</v>
      </c>
      <c r="BO34" s="1354">
        <v>0</v>
      </c>
      <c r="BP34" s="1353">
        <v>0</v>
      </c>
      <c r="BQ34" s="1353">
        <v>0</v>
      </c>
      <c r="BR34" s="1353">
        <v>0</v>
      </c>
      <c r="BS34" s="1354">
        <v>0</v>
      </c>
      <c r="BT34" s="1353">
        <v>0</v>
      </c>
      <c r="BU34" s="1353">
        <v>170</v>
      </c>
      <c r="BV34" s="1360">
        <v>0</v>
      </c>
    </row>
    <row r="35" spans="1:74" s="1141" customFormat="1" ht="10.35" customHeight="1">
      <c r="A35" s="1898"/>
      <c r="B35" s="1351" t="s">
        <v>1128</v>
      </c>
      <c r="C35" s="1237">
        <v>1642173</v>
      </c>
      <c r="D35" s="1238">
        <v>142815.96</v>
      </c>
      <c r="E35" s="1237">
        <v>1592</v>
      </c>
      <c r="F35" s="1238">
        <v>76.190000000000012</v>
      </c>
      <c r="G35" s="1237">
        <v>1643765</v>
      </c>
      <c r="H35" s="1238">
        <v>142892.16</v>
      </c>
      <c r="I35" s="1237">
        <v>1018487</v>
      </c>
      <c r="J35" s="1238">
        <v>6951.9599999999982</v>
      </c>
      <c r="K35" s="1237">
        <v>82751</v>
      </c>
      <c r="L35" s="1238">
        <v>61.39</v>
      </c>
      <c r="M35" s="1237">
        <v>3628</v>
      </c>
      <c r="N35" s="1238">
        <v>6.910000000000001</v>
      </c>
      <c r="O35" s="1237">
        <v>759050</v>
      </c>
      <c r="P35" s="1238">
        <v>418.86999999999995</v>
      </c>
      <c r="Q35" s="1237">
        <v>111377</v>
      </c>
      <c r="R35" s="1238">
        <v>126.97</v>
      </c>
      <c r="S35" s="1237">
        <v>64350</v>
      </c>
      <c r="T35" s="1238">
        <v>12.619999999999997</v>
      </c>
      <c r="U35" s="1237">
        <v>24116</v>
      </c>
      <c r="V35" s="1238">
        <v>25.57</v>
      </c>
      <c r="W35" s="1237">
        <v>1045272</v>
      </c>
      <c r="X35" s="1238">
        <v>652.34</v>
      </c>
      <c r="Y35" s="1238">
        <v>3093.79</v>
      </c>
      <c r="Z35" s="1898"/>
      <c r="AA35" s="1351" t="s">
        <v>1128</v>
      </c>
      <c r="AB35" s="1237">
        <v>11714606</v>
      </c>
      <c r="AC35" s="1238">
        <v>9134.1199999999972</v>
      </c>
      <c r="AD35" s="1237">
        <v>1876</v>
      </c>
      <c r="AE35" s="1238">
        <v>5.01</v>
      </c>
      <c r="AF35" s="1237">
        <v>582388</v>
      </c>
      <c r="AG35" s="1238">
        <v>433.11000000000007</v>
      </c>
      <c r="AH35" s="1237">
        <v>4640</v>
      </c>
      <c r="AI35" s="1238">
        <v>7.99</v>
      </c>
      <c r="AJ35" s="1237">
        <v>65861</v>
      </c>
      <c r="AK35" s="1238">
        <v>10.239999999999998</v>
      </c>
      <c r="AL35" s="1237">
        <v>1120</v>
      </c>
      <c r="AM35" s="1238">
        <v>1.4700000000000002</v>
      </c>
      <c r="AN35" s="1237">
        <v>12370491</v>
      </c>
      <c r="AO35" s="1238">
        <v>9591.9599999999991</v>
      </c>
      <c r="AP35" s="1237">
        <v>58275</v>
      </c>
      <c r="AQ35" s="1253">
        <v>41.249999999999993</v>
      </c>
      <c r="AR35" s="1237">
        <v>7943</v>
      </c>
      <c r="AS35" s="1238">
        <v>22.14</v>
      </c>
      <c r="AT35" s="1237">
        <v>72647</v>
      </c>
      <c r="AU35" s="1238">
        <v>99.68</v>
      </c>
      <c r="AV35" s="1237">
        <v>75187</v>
      </c>
      <c r="AW35" s="1238">
        <v>63.329999999999991</v>
      </c>
      <c r="AX35" s="1898"/>
      <c r="AY35" s="1351" t="s">
        <v>1128</v>
      </c>
      <c r="AZ35" s="1237">
        <v>53031</v>
      </c>
      <c r="BA35" s="1238">
        <v>7.6000000000000005</v>
      </c>
      <c r="BB35" s="1237">
        <v>200865</v>
      </c>
      <c r="BC35" s="1238">
        <v>170.60999999999999</v>
      </c>
      <c r="BD35" s="1237">
        <v>13678206</v>
      </c>
      <c r="BE35" s="1238">
        <v>10470.279999999999</v>
      </c>
      <c r="BF35" s="1237">
        <v>801624</v>
      </c>
      <c r="BG35" s="1237">
        <v>9362433</v>
      </c>
      <c r="BH35" s="1237">
        <v>165850</v>
      </c>
      <c r="BI35" s="1237">
        <v>10329907</v>
      </c>
      <c r="BJ35" s="1237">
        <v>1478441</v>
      </c>
      <c r="BK35" s="1237">
        <v>674048</v>
      </c>
      <c r="BL35" s="1238">
        <v>2818.57</v>
      </c>
      <c r="BM35" s="1237">
        <v>653578</v>
      </c>
      <c r="BN35" s="1237">
        <v>117653616</v>
      </c>
      <c r="BO35" s="1238">
        <v>19473.739999999998</v>
      </c>
      <c r="BP35" s="1237">
        <v>38098386</v>
      </c>
      <c r="BQ35" s="1237">
        <v>1279</v>
      </c>
      <c r="BR35" s="1237">
        <v>411698</v>
      </c>
      <c r="BS35" s="1238">
        <v>843.94</v>
      </c>
      <c r="BT35" s="1237">
        <v>382848</v>
      </c>
      <c r="BU35" s="1237">
        <v>8693</v>
      </c>
      <c r="BV35" s="1249">
        <v>31692</v>
      </c>
    </row>
    <row r="36" spans="1:74" s="1141" customFormat="1" ht="10.35" customHeight="1">
      <c r="A36" s="1897" t="s">
        <v>1213</v>
      </c>
      <c r="B36" s="1135" t="s">
        <v>2515</v>
      </c>
      <c r="C36" s="1234">
        <v>344380</v>
      </c>
      <c r="D36" s="1235">
        <v>32385.559999999998</v>
      </c>
      <c r="E36" s="1234">
        <v>315</v>
      </c>
      <c r="F36" s="1235">
        <v>58.6</v>
      </c>
      <c r="G36" s="1234">
        <v>344695</v>
      </c>
      <c r="H36" s="1235">
        <v>32444.160000000003</v>
      </c>
      <c r="I36" s="1234">
        <v>19855</v>
      </c>
      <c r="J36" s="1235">
        <v>165.92</v>
      </c>
      <c r="K36" s="1234">
        <v>4202</v>
      </c>
      <c r="L36" s="1235">
        <v>3.9099999999999997</v>
      </c>
      <c r="M36" s="1234">
        <v>5</v>
      </c>
      <c r="N36" s="1235">
        <v>0.01</v>
      </c>
      <c r="O36" s="1234">
        <v>1616</v>
      </c>
      <c r="P36" s="1235">
        <v>0.52</v>
      </c>
      <c r="Q36" s="1234">
        <v>104</v>
      </c>
      <c r="R36" s="1235">
        <v>0.12</v>
      </c>
      <c r="S36" s="1234">
        <v>0</v>
      </c>
      <c r="T36" s="1235">
        <v>0</v>
      </c>
      <c r="U36" s="1234">
        <v>0</v>
      </c>
      <c r="V36" s="1235">
        <v>0</v>
      </c>
      <c r="W36" s="1234">
        <v>5927</v>
      </c>
      <c r="X36" s="1235">
        <v>4.5599999999999996</v>
      </c>
      <c r="Y36" s="1235">
        <v>7.5</v>
      </c>
      <c r="Z36" s="1897" t="s">
        <v>1213</v>
      </c>
      <c r="AA36" s="1352" t="s">
        <v>2515</v>
      </c>
      <c r="AB36" s="1353">
        <v>154904</v>
      </c>
      <c r="AC36" s="1354">
        <v>144.29</v>
      </c>
      <c r="AD36" s="1353">
        <v>0</v>
      </c>
      <c r="AE36" s="1354">
        <v>0</v>
      </c>
      <c r="AF36" s="1353">
        <v>3986</v>
      </c>
      <c r="AG36" s="1354">
        <v>1.08</v>
      </c>
      <c r="AH36" s="1353">
        <v>0</v>
      </c>
      <c r="AI36" s="1354">
        <v>0</v>
      </c>
      <c r="AJ36" s="1353">
        <v>0</v>
      </c>
      <c r="AK36" s="1354">
        <v>0</v>
      </c>
      <c r="AL36" s="1353">
        <v>0</v>
      </c>
      <c r="AM36" s="1354">
        <v>0</v>
      </c>
      <c r="AN36" s="1353">
        <v>158890</v>
      </c>
      <c r="AO36" s="1354">
        <v>145.38</v>
      </c>
      <c r="AP36" s="1353">
        <v>8</v>
      </c>
      <c r="AQ36" s="1358">
        <v>0</v>
      </c>
      <c r="AR36" s="1353">
        <v>0</v>
      </c>
      <c r="AS36" s="1354">
        <v>0</v>
      </c>
      <c r="AT36" s="1353">
        <v>0</v>
      </c>
      <c r="AU36" s="1354">
        <v>0</v>
      </c>
      <c r="AV36" s="1353">
        <v>0</v>
      </c>
      <c r="AW36" s="1354">
        <v>0</v>
      </c>
      <c r="AX36" s="1897" t="s">
        <v>1213</v>
      </c>
      <c r="AY36" s="1352" t="s">
        <v>2515</v>
      </c>
      <c r="AZ36" s="1353">
        <v>0</v>
      </c>
      <c r="BA36" s="1354">
        <v>0</v>
      </c>
      <c r="BB36" s="1353">
        <v>0</v>
      </c>
      <c r="BC36" s="1354">
        <v>0</v>
      </c>
      <c r="BD36" s="1353">
        <v>164825</v>
      </c>
      <c r="BE36" s="1354">
        <v>149.94</v>
      </c>
      <c r="BF36" s="1353">
        <v>2383</v>
      </c>
      <c r="BG36" s="1353">
        <v>116195</v>
      </c>
      <c r="BH36" s="1353">
        <v>2702</v>
      </c>
      <c r="BI36" s="1353">
        <v>121280</v>
      </c>
      <c r="BJ36" s="1353">
        <v>0</v>
      </c>
      <c r="BK36" s="1353">
        <v>0</v>
      </c>
      <c r="BL36" s="1354">
        <v>0</v>
      </c>
      <c r="BM36" s="1353">
        <v>44325</v>
      </c>
      <c r="BN36" s="1353">
        <v>113262</v>
      </c>
      <c r="BO36" s="1354">
        <v>13.64</v>
      </c>
      <c r="BP36" s="1353">
        <v>476105</v>
      </c>
      <c r="BQ36" s="1353">
        <v>0</v>
      </c>
      <c r="BR36" s="1353">
        <v>0</v>
      </c>
      <c r="BS36" s="1354">
        <v>0</v>
      </c>
      <c r="BT36" s="1353">
        <v>0</v>
      </c>
      <c r="BU36" s="1353">
        <v>218</v>
      </c>
      <c r="BV36" s="1360">
        <v>0</v>
      </c>
    </row>
    <row r="37" spans="1:74" s="1141" customFormat="1" ht="10.35" customHeight="1">
      <c r="A37" s="1897"/>
      <c r="B37" s="1242" t="s">
        <v>2516</v>
      </c>
      <c r="C37" s="1239">
        <v>15274</v>
      </c>
      <c r="D37" s="1240">
        <v>1085.25</v>
      </c>
      <c r="E37" s="1239">
        <v>447</v>
      </c>
      <c r="F37" s="1240">
        <v>8.24</v>
      </c>
      <c r="G37" s="1239">
        <v>15721</v>
      </c>
      <c r="H37" s="1240">
        <v>1093.49</v>
      </c>
      <c r="I37" s="1239">
        <v>61</v>
      </c>
      <c r="J37" s="1240">
        <v>4.3499999999999996</v>
      </c>
      <c r="K37" s="1239">
        <v>0</v>
      </c>
      <c r="L37" s="1240">
        <v>0</v>
      </c>
      <c r="M37" s="1239">
        <v>0</v>
      </c>
      <c r="N37" s="1240">
        <v>0</v>
      </c>
      <c r="O37" s="1239">
        <v>0</v>
      </c>
      <c r="P37" s="1240">
        <v>0</v>
      </c>
      <c r="Q37" s="1239">
        <v>0</v>
      </c>
      <c r="R37" s="1240">
        <v>0</v>
      </c>
      <c r="S37" s="1239">
        <v>0</v>
      </c>
      <c r="T37" s="1240">
        <v>0</v>
      </c>
      <c r="U37" s="1239">
        <v>0</v>
      </c>
      <c r="V37" s="1240">
        <v>0</v>
      </c>
      <c r="W37" s="1239">
        <v>0</v>
      </c>
      <c r="X37" s="1240">
        <v>0</v>
      </c>
      <c r="Y37" s="1240">
        <v>0</v>
      </c>
      <c r="Z37" s="1897"/>
      <c r="AA37" s="1242" t="s">
        <v>2516</v>
      </c>
      <c r="AB37" s="1239">
        <v>4426</v>
      </c>
      <c r="AC37" s="1240">
        <v>3.32</v>
      </c>
      <c r="AD37" s="1239">
        <v>0</v>
      </c>
      <c r="AE37" s="1240">
        <v>0</v>
      </c>
      <c r="AF37" s="1239">
        <v>91</v>
      </c>
      <c r="AG37" s="1240">
        <v>0.02</v>
      </c>
      <c r="AH37" s="1239">
        <v>0</v>
      </c>
      <c r="AI37" s="1240">
        <v>0</v>
      </c>
      <c r="AJ37" s="1239">
        <v>0</v>
      </c>
      <c r="AK37" s="1240">
        <v>0</v>
      </c>
      <c r="AL37" s="1239">
        <v>0</v>
      </c>
      <c r="AM37" s="1240">
        <v>0</v>
      </c>
      <c r="AN37" s="1239">
        <v>4517</v>
      </c>
      <c r="AO37" s="1240">
        <v>3.34</v>
      </c>
      <c r="AP37" s="1239">
        <v>0</v>
      </c>
      <c r="AQ37" s="1241">
        <v>0</v>
      </c>
      <c r="AR37" s="1239">
        <v>0</v>
      </c>
      <c r="AS37" s="1240">
        <v>0</v>
      </c>
      <c r="AT37" s="1239">
        <v>0</v>
      </c>
      <c r="AU37" s="1240">
        <v>0</v>
      </c>
      <c r="AV37" s="1239">
        <v>0</v>
      </c>
      <c r="AW37" s="1240">
        <v>0</v>
      </c>
      <c r="AX37" s="1897"/>
      <c r="AY37" s="1242" t="s">
        <v>2516</v>
      </c>
      <c r="AZ37" s="1239">
        <v>0</v>
      </c>
      <c r="BA37" s="1240">
        <v>0</v>
      </c>
      <c r="BB37" s="1239">
        <v>0</v>
      </c>
      <c r="BC37" s="1240">
        <v>0</v>
      </c>
      <c r="BD37" s="1239">
        <v>4517</v>
      </c>
      <c r="BE37" s="1240">
        <v>3.34</v>
      </c>
      <c r="BF37" s="1239">
        <v>0</v>
      </c>
      <c r="BG37" s="1239">
        <v>3554</v>
      </c>
      <c r="BH37" s="1239">
        <v>0</v>
      </c>
      <c r="BI37" s="1239">
        <v>3554</v>
      </c>
      <c r="BJ37" s="1239">
        <v>0</v>
      </c>
      <c r="BK37" s="1239">
        <v>0</v>
      </c>
      <c r="BL37" s="1240">
        <v>0</v>
      </c>
      <c r="BM37" s="1239">
        <v>0</v>
      </c>
      <c r="BN37" s="1239">
        <v>0</v>
      </c>
      <c r="BO37" s="1240">
        <v>0</v>
      </c>
      <c r="BP37" s="1239">
        <v>0</v>
      </c>
      <c r="BQ37" s="1239">
        <v>0</v>
      </c>
      <c r="BR37" s="1239">
        <v>0</v>
      </c>
      <c r="BS37" s="1240">
        <v>0</v>
      </c>
      <c r="BT37" s="1239">
        <v>0</v>
      </c>
      <c r="BU37" s="1239">
        <v>6</v>
      </c>
      <c r="BV37" s="1248">
        <v>0</v>
      </c>
    </row>
    <row r="38" spans="1:74" s="1141" customFormat="1" ht="10.35" customHeight="1">
      <c r="A38" s="1897"/>
      <c r="B38" s="1135" t="s">
        <v>2517</v>
      </c>
      <c r="C38" s="1234">
        <v>1281802</v>
      </c>
      <c r="D38" s="1235">
        <v>102426.95</v>
      </c>
      <c r="E38" s="1234">
        <v>1028</v>
      </c>
      <c r="F38" s="1235">
        <v>33.169999999999995</v>
      </c>
      <c r="G38" s="1234">
        <v>1282830</v>
      </c>
      <c r="H38" s="1235">
        <v>102460.13</v>
      </c>
      <c r="I38" s="1234">
        <v>707587</v>
      </c>
      <c r="J38" s="1235">
        <v>4908.4000000000005</v>
      </c>
      <c r="K38" s="1234">
        <v>90238</v>
      </c>
      <c r="L38" s="1235">
        <v>58.82</v>
      </c>
      <c r="M38" s="1234">
        <v>3811</v>
      </c>
      <c r="N38" s="1235">
        <v>5.24</v>
      </c>
      <c r="O38" s="1234">
        <v>568893</v>
      </c>
      <c r="P38" s="1235">
        <v>329.83</v>
      </c>
      <c r="Q38" s="1234">
        <v>92129</v>
      </c>
      <c r="R38" s="1235">
        <v>114.21</v>
      </c>
      <c r="S38" s="1234">
        <v>55710</v>
      </c>
      <c r="T38" s="1235">
        <v>19.649999999999995</v>
      </c>
      <c r="U38" s="1234">
        <v>24575</v>
      </c>
      <c r="V38" s="1235">
        <v>25.819999999999993</v>
      </c>
      <c r="W38" s="1234">
        <v>835356</v>
      </c>
      <c r="X38" s="1235">
        <v>553.58000000000004</v>
      </c>
      <c r="Y38" s="1235">
        <v>2477.0700000000002</v>
      </c>
      <c r="Z38" s="1897"/>
      <c r="AA38" s="1135" t="s">
        <v>2517</v>
      </c>
      <c r="AB38" s="1234">
        <v>11106014</v>
      </c>
      <c r="AC38" s="1235">
        <v>7971.7400000000025</v>
      </c>
      <c r="AD38" s="1234">
        <v>333</v>
      </c>
      <c r="AE38" s="1235">
        <v>0.62</v>
      </c>
      <c r="AF38" s="1234">
        <v>487729</v>
      </c>
      <c r="AG38" s="1235">
        <v>397.10000000000008</v>
      </c>
      <c r="AH38" s="1234">
        <v>2060</v>
      </c>
      <c r="AI38" s="1235">
        <v>3.9600000000000004</v>
      </c>
      <c r="AJ38" s="1234">
        <v>63832</v>
      </c>
      <c r="AK38" s="1235">
        <v>13.84</v>
      </c>
      <c r="AL38" s="1234">
        <v>703</v>
      </c>
      <c r="AM38" s="1235">
        <v>0.55000000000000004</v>
      </c>
      <c r="AN38" s="1234">
        <v>11660671</v>
      </c>
      <c r="AO38" s="1235">
        <v>8387.7800000000025</v>
      </c>
      <c r="AP38" s="1234">
        <v>54189</v>
      </c>
      <c r="AQ38" s="1236">
        <v>35.739999999999988</v>
      </c>
      <c r="AR38" s="1234">
        <v>7299</v>
      </c>
      <c r="AS38" s="1235">
        <v>8.6399999999999988</v>
      </c>
      <c r="AT38" s="1234">
        <v>56956</v>
      </c>
      <c r="AU38" s="1235">
        <v>65.89</v>
      </c>
      <c r="AV38" s="1234">
        <v>74934</v>
      </c>
      <c r="AW38" s="1235">
        <v>74.13</v>
      </c>
      <c r="AX38" s="1897"/>
      <c r="AY38" s="1352" t="s">
        <v>2517</v>
      </c>
      <c r="AZ38" s="1353">
        <v>53674</v>
      </c>
      <c r="BA38" s="1354">
        <v>6.99</v>
      </c>
      <c r="BB38" s="1353">
        <v>185564</v>
      </c>
      <c r="BC38" s="1354">
        <v>147.00000000000003</v>
      </c>
      <c r="BD38" s="1353">
        <v>12741019</v>
      </c>
      <c r="BE38" s="1354">
        <v>9128.85</v>
      </c>
      <c r="BF38" s="1353">
        <v>719256</v>
      </c>
      <c r="BG38" s="1353">
        <v>9209716</v>
      </c>
      <c r="BH38" s="1353">
        <v>149126</v>
      </c>
      <c r="BI38" s="1353">
        <v>10078098</v>
      </c>
      <c r="BJ38" s="1353">
        <v>1358957</v>
      </c>
      <c r="BK38" s="1353">
        <v>422740</v>
      </c>
      <c r="BL38" s="1354">
        <v>646.78000000000009</v>
      </c>
      <c r="BM38" s="1353">
        <v>639867</v>
      </c>
      <c r="BN38" s="1353">
        <v>128383400</v>
      </c>
      <c r="BO38" s="1354">
        <v>20678.879999999997</v>
      </c>
      <c r="BP38" s="1353">
        <v>38665398</v>
      </c>
      <c r="BQ38" s="1353">
        <v>1981</v>
      </c>
      <c r="BR38" s="1353">
        <v>523490</v>
      </c>
      <c r="BS38" s="1354">
        <v>1163.53</v>
      </c>
      <c r="BT38" s="1353">
        <v>405004</v>
      </c>
      <c r="BU38" s="1353">
        <v>8408</v>
      </c>
      <c r="BV38" s="1360">
        <v>31789</v>
      </c>
    </row>
    <row r="39" spans="1:74" s="1141" customFormat="1" ht="10.35" customHeight="1">
      <c r="A39" s="1897"/>
      <c r="B39" s="1242" t="s">
        <v>2541</v>
      </c>
      <c r="C39" s="1239">
        <v>156332</v>
      </c>
      <c r="D39" s="1240">
        <v>12253.449999999999</v>
      </c>
      <c r="E39" s="1239">
        <v>0</v>
      </c>
      <c r="F39" s="1240">
        <v>0</v>
      </c>
      <c r="G39" s="1239">
        <v>156332</v>
      </c>
      <c r="H39" s="1240">
        <v>12253.449999999999</v>
      </c>
      <c r="I39" s="1239">
        <v>238410</v>
      </c>
      <c r="J39" s="1240">
        <v>2299.96</v>
      </c>
      <c r="K39" s="1239">
        <v>7859</v>
      </c>
      <c r="L39" s="1240">
        <v>7.11</v>
      </c>
      <c r="M39" s="1239">
        <v>96</v>
      </c>
      <c r="N39" s="1240">
        <v>0.11</v>
      </c>
      <c r="O39" s="1239">
        <v>208437</v>
      </c>
      <c r="P39" s="1240">
        <v>93.27</v>
      </c>
      <c r="Q39" s="1239">
        <v>6068</v>
      </c>
      <c r="R39" s="1240">
        <v>6.03</v>
      </c>
      <c r="S39" s="1239">
        <v>22671</v>
      </c>
      <c r="T39" s="1240">
        <v>5.1999999999999993</v>
      </c>
      <c r="U39" s="1239">
        <v>1708</v>
      </c>
      <c r="V39" s="1240">
        <v>1.1100000000000001</v>
      </c>
      <c r="W39" s="1239">
        <v>246839</v>
      </c>
      <c r="X39" s="1240">
        <v>112.83999999999999</v>
      </c>
      <c r="Y39" s="1240">
        <v>613.20000000000005</v>
      </c>
      <c r="Z39" s="1897"/>
      <c r="AA39" s="1242" t="s">
        <v>2541</v>
      </c>
      <c r="AB39" s="1239">
        <v>525365</v>
      </c>
      <c r="AC39" s="1240">
        <v>601.66999999999996</v>
      </c>
      <c r="AD39" s="1239">
        <v>1000</v>
      </c>
      <c r="AE39" s="1240">
        <v>2.58</v>
      </c>
      <c r="AF39" s="1239">
        <v>92988</v>
      </c>
      <c r="AG39" s="1240">
        <v>31.060000000000002</v>
      </c>
      <c r="AH39" s="1239">
        <v>2235</v>
      </c>
      <c r="AI39" s="1240">
        <v>3.58</v>
      </c>
      <c r="AJ39" s="1239">
        <v>13130</v>
      </c>
      <c r="AK39" s="1240">
        <v>1.1299999999999999</v>
      </c>
      <c r="AL39" s="1239">
        <v>1190</v>
      </c>
      <c r="AM39" s="1240">
        <v>1.57</v>
      </c>
      <c r="AN39" s="1239">
        <v>635908</v>
      </c>
      <c r="AO39" s="1240">
        <v>641.62000000000012</v>
      </c>
      <c r="AP39" s="1239">
        <v>0</v>
      </c>
      <c r="AQ39" s="1241">
        <v>0</v>
      </c>
      <c r="AR39" s="1239">
        <v>671</v>
      </c>
      <c r="AS39" s="1240">
        <v>0.76</v>
      </c>
      <c r="AT39" s="1239">
        <v>11848</v>
      </c>
      <c r="AU39" s="1240">
        <v>27.05</v>
      </c>
      <c r="AV39" s="1239">
        <v>0</v>
      </c>
      <c r="AW39" s="1240">
        <v>0</v>
      </c>
      <c r="AX39" s="1897"/>
      <c r="AY39" s="1242" t="s">
        <v>2541</v>
      </c>
      <c r="AZ39" s="1239">
        <v>0</v>
      </c>
      <c r="BA39" s="1240">
        <v>0</v>
      </c>
      <c r="BB39" s="1239">
        <v>11848</v>
      </c>
      <c r="BC39" s="1240">
        <v>27.05</v>
      </c>
      <c r="BD39" s="1239">
        <v>893031</v>
      </c>
      <c r="BE39" s="1240">
        <v>778.67000000000019</v>
      </c>
      <c r="BF39" s="1239">
        <v>94716</v>
      </c>
      <c r="BG39" s="1239">
        <v>303539</v>
      </c>
      <c r="BH39" s="1239">
        <v>14929</v>
      </c>
      <c r="BI39" s="1239">
        <v>413184</v>
      </c>
      <c r="BJ39" s="1239">
        <v>138731</v>
      </c>
      <c r="BK39" s="1239">
        <v>158198</v>
      </c>
      <c r="BL39" s="1240">
        <v>2046.73</v>
      </c>
      <c r="BM39" s="1239">
        <v>0</v>
      </c>
      <c r="BN39" s="1239">
        <v>0</v>
      </c>
      <c r="BO39" s="1240">
        <v>0</v>
      </c>
      <c r="BP39" s="1239">
        <v>0</v>
      </c>
      <c r="BQ39" s="1239">
        <v>0</v>
      </c>
      <c r="BR39" s="1239">
        <v>0</v>
      </c>
      <c r="BS39" s="1240">
        <v>0</v>
      </c>
      <c r="BT39" s="1239">
        <v>0</v>
      </c>
      <c r="BU39" s="1239">
        <v>169</v>
      </c>
      <c r="BV39" s="1248">
        <v>0</v>
      </c>
    </row>
    <row r="40" spans="1:74" s="1141" customFormat="1" ht="10.35" customHeight="1">
      <c r="A40" s="1898"/>
      <c r="B40" s="1355" t="s">
        <v>1128</v>
      </c>
      <c r="C40" s="1356">
        <v>1797788</v>
      </c>
      <c r="D40" s="1357">
        <v>148151.21000000002</v>
      </c>
      <c r="E40" s="1356">
        <v>1790</v>
      </c>
      <c r="F40" s="1357">
        <v>100.00999999999999</v>
      </c>
      <c r="G40" s="1356">
        <v>1799578</v>
      </c>
      <c r="H40" s="1357">
        <v>148251.23000000001</v>
      </c>
      <c r="I40" s="1356">
        <v>965913</v>
      </c>
      <c r="J40" s="1357">
        <v>7378.63</v>
      </c>
      <c r="K40" s="1356">
        <v>102299</v>
      </c>
      <c r="L40" s="1357">
        <v>69.84</v>
      </c>
      <c r="M40" s="1356">
        <v>3912</v>
      </c>
      <c r="N40" s="1357">
        <v>5.36</v>
      </c>
      <c r="O40" s="1356">
        <v>778946</v>
      </c>
      <c r="P40" s="1357">
        <v>423.61999999999995</v>
      </c>
      <c r="Q40" s="1356">
        <v>98301</v>
      </c>
      <c r="R40" s="1357">
        <v>120.36</v>
      </c>
      <c r="S40" s="1356">
        <v>78381</v>
      </c>
      <c r="T40" s="1357">
        <v>24.849999999999994</v>
      </c>
      <c r="U40" s="1356">
        <v>26283</v>
      </c>
      <c r="V40" s="1357">
        <v>26.929999999999993</v>
      </c>
      <c r="W40" s="1356">
        <v>1088122</v>
      </c>
      <c r="X40" s="1357">
        <v>670.98</v>
      </c>
      <c r="Y40" s="1357">
        <v>3097.7700000000004</v>
      </c>
      <c r="Z40" s="1898"/>
      <c r="AA40" s="1355" t="s">
        <v>1128</v>
      </c>
      <c r="AB40" s="1356">
        <v>11790709</v>
      </c>
      <c r="AC40" s="1357">
        <v>8721.0200000000023</v>
      </c>
      <c r="AD40" s="1356">
        <v>1333</v>
      </c>
      <c r="AE40" s="1357">
        <v>3.2</v>
      </c>
      <c r="AF40" s="1356">
        <v>584794</v>
      </c>
      <c r="AG40" s="1357">
        <v>429.2600000000001</v>
      </c>
      <c r="AH40" s="1356">
        <v>4295</v>
      </c>
      <c r="AI40" s="1357">
        <v>7.5400000000000009</v>
      </c>
      <c r="AJ40" s="1356">
        <v>76962</v>
      </c>
      <c r="AK40" s="1357">
        <v>14.969999999999999</v>
      </c>
      <c r="AL40" s="1356">
        <v>1893</v>
      </c>
      <c r="AM40" s="1357">
        <v>2.12</v>
      </c>
      <c r="AN40" s="1356">
        <v>12459986</v>
      </c>
      <c r="AO40" s="1357">
        <v>9178.1200000000026</v>
      </c>
      <c r="AP40" s="1356">
        <v>54197</v>
      </c>
      <c r="AQ40" s="1359">
        <v>35.739999999999988</v>
      </c>
      <c r="AR40" s="1356">
        <v>7970</v>
      </c>
      <c r="AS40" s="1357">
        <v>9.3999999999999986</v>
      </c>
      <c r="AT40" s="1356">
        <v>68804</v>
      </c>
      <c r="AU40" s="1357">
        <v>92.94</v>
      </c>
      <c r="AV40" s="1356">
        <v>74934</v>
      </c>
      <c r="AW40" s="1357">
        <v>74.13</v>
      </c>
      <c r="AX40" s="1898"/>
      <c r="AY40" s="1355" t="s">
        <v>1128</v>
      </c>
      <c r="AZ40" s="1356">
        <v>53674</v>
      </c>
      <c r="BA40" s="1357">
        <v>6.99</v>
      </c>
      <c r="BB40" s="1356">
        <v>197412</v>
      </c>
      <c r="BC40" s="1357">
        <v>174.05000000000004</v>
      </c>
      <c r="BD40" s="1356">
        <v>13803392</v>
      </c>
      <c r="BE40" s="1357">
        <v>10060.800000000001</v>
      </c>
      <c r="BF40" s="1356">
        <v>816355</v>
      </c>
      <c r="BG40" s="1356">
        <v>9633004</v>
      </c>
      <c r="BH40" s="1356">
        <v>166757</v>
      </c>
      <c r="BI40" s="1356">
        <v>10616116</v>
      </c>
      <c r="BJ40" s="1356">
        <v>1497688</v>
      </c>
      <c r="BK40" s="1356">
        <v>580938</v>
      </c>
      <c r="BL40" s="1357">
        <v>2693.51</v>
      </c>
      <c r="BM40" s="1356">
        <v>684192</v>
      </c>
      <c r="BN40" s="1356">
        <v>128496662</v>
      </c>
      <c r="BO40" s="1357">
        <v>20692.519999999997</v>
      </c>
      <c r="BP40" s="1356">
        <v>39141503</v>
      </c>
      <c r="BQ40" s="1356">
        <v>1981</v>
      </c>
      <c r="BR40" s="1356">
        <v>523490</v>
      </c>
      <c r="BS40" s="1357">
        <v>1163.53</v>
      </c>
      <c r="BT40" s="1356">
        <v>405004</v>
      </c>
      <c r="BU40" s="1356">
        <v>8801</v>
      </c>
      <c r="BV40" s="1361">
        <v>31789</v>
      </c>
    </row>
    <row r="41" spans="1:74" s="1141" customFormat="1" ht="10.35" customHeight="1">
      <c r="A41" s="1897" t="s">
        <v>1214</v>
      </c>
      <c r="B41" s="1242" t="s">
        <v>2515</v>
      </c>
      <c r="C41" s="1239">
        <v>387867</v>
      </c>
      <c r="D41" s="1240">
        <v>32587.01</v>
      </c>
      <c r="E41" s="1239">
        <v>386</v>
      </c>
      <c r="F41" s="1240">
        <v>27.349999999999998</v>
      </c>
      <c r="G41" s="1239">
        <v>388253</v>
      </c>
      <c r="H41" s="1240">
        <v>32614.36</v>
      </c>
      <c r="I41" s="1239">
        <v>24106</v>
      </c>
      <c r="J41" s="1240">
        <v>152.16999999999999</v>
      </c>
      <c r="K41" s="1239">
        <v>3954</v>
      </c>
      <c r="L41" s="1240">
        <v>3.56</v>
      </c>
      <c r="M41" s="1239">
        <v>0</v>
      </c>
      <c r="N41" s="1240">
        <v>0</v>
      </c>
      <c r="O41" s="1239">
        <v>1527</v>
      </c>
      <c r="P41" s="1240">
        <v>0.44</v>
      </c>
      <c r="Q41" s="1239">
        <v>25</v>
      </c>
      <c r="R41" s="1240">
        <v>7.0000000000000007E-2</v>
      </c>
      <c r="S41" s="1239">
        <v>0</v>
      </c>
      <c r="T41" s="1240">
        <v>0</v>
      </c>
      <c r="U41" s="1239">
        <v>0</v>
      </c>
      <c r="V41" s="1240">
        <v>0</v>
      </c>
      <c r="W41" s="1239">
        <v>5506</v>
      </c>
      <c r="X41" s="1240">
        <v>4.08</v>
      </c>
      <c r="Y41" s="1240">
        <v>7.16</v>
      </c>
      <c r="Z41" s="1897" t="s">
        <v>1214</v>
      </c>
      <c r="AA41" s="1242" t="s">
        <v>2515</v>
      </c>
      <c r="AB41" s="1239">
        <v>154259</v>
      </c>
      <c r="AC41" s="1240">
        <v>143.11000000000001</v>
      </c>
      <c r="AD41" s="1239">
        <v>0</v>
      </c>
      <c r="AE41" s="1240">
        <v>0</v>
      </c>
      <c r="AF41" s="1239">
        <v>3436</v>
      </c>
      <c r="AG41" s="1240">
        <v>1.03</v>
      </c>
      <c r="AH41" s="1239">
        <v>0</v>
      </c>
      <c r="AI41" s="1240">
        <v>0</v>
      </c>
      <c r="AJ41" s="1239">
        <v>0</v>
      </c>
      <c r="AK41" s="1240">
        <v>0</v>
      </c>
      <c r="AL41" s="1239">
        <v>0</v>
      </c>
      <c r="AM41" s="1240">
        <v>0</v>
      </c>
      <c r="AN41" s="1239">
        <v>157695</v>
      </c>
      <c r="AO41" s="1240">
        <v>144.14000000000001</v>
      </c>
      <c r="AP41" s="1239">
        <v>992</v>
      </c>
      <c r="AQ41" s="1241">
        <v>1.32</v>
      </c>
      <c r="AR41" s="1239">
        <v>0</v>
      </c>
      <c r="AS41" s="1240">
        <v>0</v>
      </c>
      <c r="AT41" s="1239">
        <v>0</v>
      </c>
      <c r="AU41" s="1240">
        <v>0</v>
      </c>
      <c r="AV41" s="1239">
        <v>0</v>
      </c>
      <c r="AW41" s="1240">
        <v>0</v>
      </c>
      <c r="AX41" s="1897" t="s">
        <v>1214</v>
      </c>
      <c r="AY41" s="1242" t="s">
        <v>2515</v>
      </c>
      <c r="AZ41" s="1239">
        <v>0</v>
      </c>
      <c r="BA41" s="1240">
        <v>0</v>
      </c>
      <c r="BB41" s="1239">
        <v>0</v>
      </c>
      <c r="BC41" s="1240">
        <v>0</v>
      </c>
      <c r="BD41" s="1239">
        <v>164193</v>
      </c>
      <c r="BE41" s="1240">
        <v>149.54000000000002</v>
      </c>
      <c r="BF41" s="1239">
        <v>2442</v>
      </c>
      <c r="BG41" s="1239">
        <v>118139</v>
      </c>
      <c r="BH41" s="1239">
        <v>3306</v>
      </c>
      <c r="BI41" s="1239">
        <v>123887</v>
      </c>
      <c r="BJ41" s="1239">
        <v>0</v>
      </c>
      <c r="BK41" s="1239">
        <v>0</v>
      </c>
      <c r="BL41" s="1240">
        <v>0</v>
      </c>
      <c r="BM41" s="1239">
        <v>54267</v>
      </c>
      <c r="BN41" s="1239">
        <v>174443</v>
      </c>
      <c r="BO41" s="1240">
        <v>53.12</v>
      </c>
      <c r="BP41" s="1239">
        <v>363650</v>
      </c>
      <c r="BQ41" s="1239">
        <v>0</v>
      </c>
      <c r="BR41" s="1239">
        <v>0</v>
      </c>
      <c r="BS41" s="1240">
        <v>0</v>
      </c>
      <c r="BT41" s="1239">
        <v>0</v>
      </c>
      <c r="BU41" s="1239">
        <v>219</v>
      </c>
      <c r="BV41" s="1246">
        <v>0</v>
      </c>
    </row>
    <row r="42" spans="1:74" s="1141" customFormat="1" ht="10.9" customHeight="1">
      <c r="A42" s="1897"/>
      <c r="B42" s="1135" t="s">
        <v>2516</v>
      </c>
      <c r="C42" s="1234">
        <v>15571</v>
      </c>
      <c r="D42" s="1235">
        <v>1313.9199999999998</v>
      </c>
      <c r="E42" s="1234">
        <v>481</v>
      </c>
      <c r="F42" s="1235">
        <v>9.02</v>
      </c>
      <c r="G42" s="1234">
        <v>16052</v>
      </c>
      <c r="H42" s="1235">
        <v>1322.9299999999998</v>
      </c>
      <c r="I42" s="1234">
        <v>128</v>
      </c>
      <c r="J42" s="1235">
        <v>14.04</v>
      </c>
      <c r="K42" s="1234">
        <v>0</v>
      </c>
      <c r="L42" s="1235">
        <v>0</v>
      </c>
      <c r="M42" s="1234">
        <v>0</v>
      </c>
      <c r="N42" s="1235">
        <v>0</v>
      </c>
      <c r="O42" s="1234">
        <v>0</v>
      </c>
      <c r="P42" s="1235">
        <v>0</v>
      </c>
      <c r="Q42" s="1234">
        <v>0</v>
      </c>
      <c r="R42" s="1235">
        <v>0</v>
      </c>
      <c r="S42" s="1234">
        <v>0</v>
      </c>
      <c r="T42" s="1235">
        <v>0</v>
      </c>
      <c r="U42" s="1234">
        <v>0</v>
      </c>
      <c r="V42" s="1235">
        <v>0</v>
      </c>
      <c r="W42" s="1234">
        <v>0</v>
      </c>
      <c r="X42" s="1235">
        <v>0</v>
      </c>
      <c r="Y42" s="1235">
        <v>0</v>
      </c>
      <c r="Z42" s="1897"/>
      <c r="AA42" s="1135" t="s">
        <v>2516</v>
      </c>
      <c r="AB42" s="1234">
        <v>4102</v>
      </c>
      <c r="AC42" s="1235">
        <v>2.96</v>
      </c>
      <c r="AD42" s="1234">
        <v>0</v>
      </c>
      <c r="AE42" s="1235">
        <v>0</v>
      </c>
      <c r="AF42" s="1234">
        <v>67</v>
      </c>
      <c r="AG42" s="1235">
        <v>0.02</v>
      </c>
      <c r="AH42" s="1234">
        <v>0</v>
      </c>
      <c r="AI42" s="1235">
        <v>0</v>
      </c>
      <c r="AJ42" s="1234">
        <v>0</v>
      </c>
      <c r="AK42" s="1235">
        <v>0</v>
      </c>
      <c r="AL42" s="1234">
        <v>0</v>
      </c>
      <c r="AM42" s="1235">
        <v>0</v>
      </c>
      <c r="AN42" s="1234">
        <v>4169</v>
      </c>
      <c r="AO42" s="1235">
        <v>2.98</v>
      </c>
      <c r="AP42" s="1234">
        <v>0</v>
      </c>
      <c r="AQ42" s="1236">
        <v>0</v>
      </c>
      <c r="AR42" s="1234">
        <v>0</v>
      </c>
      <c r="AS42" s="1235">
        <v>0</v>
      </c>
      <c r="AT42" s="1234">
        <v>0</v>
      </c>
      <c r="AU42" s="1235">
        <v>0</v>
      </c>
      <c r="AV42" s="1234">
        <v>0</v>
      </c>
      <c r="AW42" s="1235">
        <v>0</v>
      </c>
      <c r="AX42" s="1897"/>
      <c r="AY42" s="1135" t="s">
        <v>2516</v>
      </c>
      <c r="AZ42" s="1234">
        <v>0</v>
      </c>
      <c r="BA42" s="1235">
        <v>0</v>
      </c>
      <c r="BB42" s="1234">
        <v>0</v>
      </c>
      <c r="BC42" s="1235">
        <v>0</v>
      </c>
      <c r="BD42" s="1234">
        <v>4169</v>
      </c>
      <c r="BE42" s="1235">
        <v>2.98</v>
      </c>
      <c r="BF42" s="1234">
        <v>0</v>
      </c>
      <c r="BG42" s="1234">
        <v>3593</v>
      </c>
      <c r="BH42" s="1234">
        <v>0</v>
      </c>
      <c r="BI42" s="1234">
        <v>3593</v>
      </c>
      <c r="BJ42" s="1234">
        <v>0</v>
      </c>
      <c r="BK42" s="1234">
        <v>0</v>
      </c>
      <c r="BL42" s="1235">
        <v>0</v>
      </c>
      <c r="BM42" s="1234">
        <v>0</v>
      </c>
      <c r="BN42" s="1234">
        <v>0</v>
      </c>
      <c r="BO42" s="1235">
        <v>0</v>
      </c>
      <c r="BP42" s="1234">
        <v>0</v>
      </c>
      <c r="BQ42" s="1234">
        <v>0</v>
      </c>
      <c r="BR42" s="1234">
        <v>0</v>
      </c>
      <c r="BS42" s="1235">
        <v>0</v>
      </c>
      <c r="BT42" s="1234">
        <v>0</v>
      </c>
      <c r="BU42" s="1234">
        <v>6</v>
      </c>
      <c r="BV42" s="1247">
        <v>0</v>
      </c>
    </row>
    <row r="43" spans="1:74" s="1141" customFormat="1" ht="10.35" customHeight="1">
      <c r="A43" s="1897"/>
      <c r="B43" s="1242" t="s">
        <v>2517</v>
      </c>
      <c r="C43" s="1239">
        <v>1374885</v>
      </c>
      <c r="D43" s="1240">
        <v>106635.29</v>
      </c>
      <c r="E43" s="1239">
        <v>1558</v>
      </c>
      <c r="F43" s="1240">
        <v>45.459999999999994</v>
      </c>
      <c r="G43" s="1239">
        <v>1376443</v>
      </c>
      <c r="H43" s="1240">
        <v>106680.74999999999</v>
      </c>
      <c r="I43" s="1239">
        <v>599870</v>
      </c>
      <c r="J43" s="1240">
        <v>5371.1999999999989</v>
      </c>
      <c r="K43" s="1239">
        <v>91893</v>
      </c>
      <c r="L43" s="1240">
        <v>60.47999999999999</v>
      </c>
      <c r="M43" s="1239">
        <v>2610</v>
      </c>
      <c r="N43" s="1240">
        <v>4.2299999999999986</v>
      </c>
      <c r="O43" s="1239">
        <v>575832</v>
      </c>
      <c r="P43" s="1240">
        <v>333.71</v>
      </c>
      <c r="Q43" s="1239">
        <v>94888</v>
      </c>
      <c r="R43" s="1240">
        <v>92.83</v>
      </c>
      <c r="S43" s="1239">
        <v>54392</v>
      </c>
      <c r="T43" s="1240">
        <v>9.5199999999999978</v>
      </c>
      <c r="U43" s="1239">
        <v>29819</v>
      </c>
      <c r="V43" s="1240">
        <v>28.43</v>
      </c>
      <c r="W43" s="1239">
        <v>849434</v>
      </c>
      <c r="X43" s="1240">
        <v>529.23000000000013</v>
      </c>
      <c r="Y43" s="1240">
        <v>2512.8200000000006</v>
      </c>
      <c r="Z43" s="1897"/>
      <c r="AA43" s="1242" t="s">
        <v>2517</v>
      </c>
      <c r="AB43" s="1239">
        <v>11097433</v>
      </c>
      <c r="AC43" s="1240">
        <v>7975.1999999999971</v>
      </c>
      <c r="AD43" s="1239">
        <v>301</v>
      </c>
      <c r="AE43" s="1240">
        <v>0.63</v>
      </c>
      <c r="AF43" s="1239">
        <v>466878</v>
      </c>
      <c r="AG43" s="1240">
        <v>400.74999999999994</v>
      </c>
      <c r="AH43" s="1239">
        <v>2081</v>
      </c>
      <c r="AI43" s="1240">
        <v>3.95</v>
      </c>
      <c r="AJ43" s="1239">
        <v>59549</v>
      </c>
      <c r="AK43" s="1240">
        <v>15.75</v>
      </c>
      <c r="AL43" s="1239">
        <v>634</v>
      </c>
      <c r="AM43" s="1240">
        <v>0.49</v>
      </c>
      <c r="AN43" s="1239">
        <v>11626876</v>
      </c>
      <c r="AO43" s="1240">
        <v>8396.7299999999977</v>
      </c>
      <c r="AP43" s="1239">
        <v>55282</v>
      </c>
      <c r="AQ43" s="1241">
        <v>36.759999999999991</v>
      </c>
      <c r="AR43" s="1239">
        <v>7721</v>
      </c>
      <c r="AS43" s="1240">
        <v>2.96</v>
      </c>
      <c r="AT43" s="1239">
        <v>32283</v>
      </c>
      <c r="AU43" s="1240">
        <v>44.279999999999994</v>
      </c>
      <c r="AV43" s="1239">
        <v>75381</v>
      </c>
      <c r="AW43" s="1240">
        <v>77.239999999999995</v>
      </c>
      <c r="AX43" s="1897"/>
      <c r="AY43" s="1242" t="s">
        <v>2517</v>
      </c>
      <c r="AZ43" s="1239">
        <v>40657</v>
      </c>
      <c r="BA43" s="1240">
        <v>6.18</v>
      </c>
      <c r="BB43" s="1239">
        <v>148321</v>
      </c>
      <c r="BC43" s="1240">
        <v>127.73</v>
      </c>
      <c r="BD43" s="1239">
        <v>12685553</v>
      </c>
      <c r="BE43" s="1240">
        <v>9089.4999999999982</v>
      </c>
      <c r="BF43" s="1239">
        <v>826130</v>
      </c>
      <c r="BG43" s="1239">
        <v>9277673</v>
      </c>
      <c r="BH43" s="1239">
        <v>150319</v>
      </c>
      <c r="BI43" s="1239">
        <v>10254122</v>
      </c>
      <c r="BJ43" s="1239">
        <v>1376153</v>
      </c>
      <c r="BK43" s="1239">
        <v>396147</v>
      </c>
      <c r="BL43" s="1240">
        <v>593.78999999999985</v>
      </c>
      <c r="BM43" s="1239">
        <v>653217</v>
      </c>
      <c r="BN43" s="1239">
        <v>129393860</v>
      </c>
      <c r="BO43" s="1240">
        <v>21880.520000000004</v>
      </c>
      <c r="BP43" s="1239">
        <v>39447398</v>
      </c>
      <c r="BQ43" s="1239">
        <v>2221</v>
      </c>
      <c r="BR43" s="1239">
        <v>505046</v>
      </c>
      <c r="BS43" s="1240">
        <v>788.68999999999994</v>
      </c>
      <c r="BT43" s="1239">
        <v>463058</v>
      </c>
      <c r="BU43" s="1239">
        <v>8519</v>
      </c>
      <c r="BV43" s="1248">
        <v>33406</v>
      </c>
    </row>
    <row r="44" spans="1:74" s="1141" customFormat="1" ht="10.35" customHeight="1">
      <c r="A44" s="1897"/>
      <c r="B44" s="1135" t="s">
        <v>2541</v>
      </c>
      <c r="C44" s="1234">
        <v>163789</v>
      </c>
      <c r="D44" s="1235">
        <v>13126.810000000001</v>
      </c>
      <c r="E44" s="1234">
        <v>0</v>
      </c>
      <c r="F44" s="1235">
        <v>0</v>
      </c>
      <c r="G44" s="1234">
        <v>163789</v>
      </c>
      <c r="H44" s="1235">
        <v>13126.810000000001</v>
      </c>
      <c r="I44" s="1234">
        <v>265635</v>
      </c>
      <c r="J44" s="1235">
        <v>2511.4</v>
      </c>
      <c r="K44" s="1234">
        <v>7931</v>
      </c>
      <c r="L44" s="1235">
        <v>7.09</v>
      </c>
      <c r="M44" s="1234">
        <v>136</v>
      </c>
      <c r="N44" s="1235">
        <v>0.17</v>
      </c>
      <c r="O44" s="1234">
        <v>202908</v>
      </c>
      <c r="P44" s="1235">
        <v>93.070000000000007</v>
      </c>
      <c r="Q44" s="1234">
        <v>6579</v>
      </c>
      <c r="R44" s="1235">
        <v>6.66</v>
      </c>
      <c r="S44" s="1234">
        <v>23659</v>
      </c>
      <c r="T44" s="1235">
        <v>5.44</v>
      </c>
      <c r="U44" s="1234">
        <v>2051</v>
      </c>
      <c r="V44" s="1235">
        <v>1.56</v>
      </c>
      <c r="W44" s="1234">
        <v>243264</v>
      </c>
      <c r="X44" s="1235">
        <v>113.98</v>
      </c>
      <c r="Y44" s="1235">
        <v>602.81000000000006</v>
      </c>
      <c r="Z44" s="1897"/>
      <c r="AA44" s="1135" t="s">
        <v>2541</v>
      </c>
      <c r="AB44" s="1234">
        <v>486629</v>
      </c>
      <c r="AC44" s="1235">
        <v>553.30000000000007</v>
      </c>
      <c r="AD44" s="1234">
        <v>901</v>
      </c>
      <c r="AE44" s="1235">
        <v>2.5</v>
      </c>
      <c r="AF44" s="1234">
        <v>87576</v>
      </c>
      <c r="AG44" s="1235">
        <v>26.990000000000002</v>
      </c>
      <c r="AH44" s="1234">
        <v>2427</v>
      </c>
      <c r="AI44" s="1235">
        <v>3.3600000000000003</v>
      </c>
      <c r="AJ44" s="1234">
        <v>10107</v>
      </c>
      <c r="AK44" s="1235">
        <v>0.83</v>
      </c>
      <c r="AL44" s="1234">
        <v>1121</v>
      </c>
      <c r="AM44" s="1235">
        <v>1.4000000000000001</v>
      </c>
      <c r="AN44" s="1234">
        <v>588761</v>
      </c>
      <c r="AO44" s="1235">
        <v>588.38</v>
      </c>
      <c r="AP44" s="1234">
        <v>0</v>
      </c>
      <c r="AQ44" s="1236">
        <v>0</v>
      </c>
      <c r="AR44" s="1234">
        <v>716</v>
      </c>
      <c r="AS44" s="1235">
        <v>0.92</v>
      </c>
      <c r="AT44" s="1234">
        <v>11243</v>
      </c>
      <c r="AU44" s="1235">
        <v>25.409999999999997</v>
      </c>
      <c r="AV44" s="1234">
        <v>0</v>
      </c>
      <c r="AW44" s="1235">
        <v>0</v>
      </c>
      <c r="AX44" s="1897"/>
      <c r="AY44" s="1135" t="s">
        <v>2541</v>
      </c>
      <c r="AZ44" s="1234">
        <v>0</v>
      </c>
      <c r="BA44" s="1235">
        <v>0</v>
      </c>
      <c r="BB44" s="1234">
        <v>11243</v>
      </c>
      <c r="BC44" s="1235">
        <v>25.409999999999997</v>
      </c>
      <c r="BD44" s="1234">
        <v>841557</v>
      </c>
      <c r="BE44" s="1235">
        <v>725.34</v>
      </c>
      <c r="BF44" s="1234">
        <v>96453</v>
      </c>
      <c r="BG44" s="1234">
        <v>306196</v>
      </c>
      <c r="BH44" s="1234">
        <v>18576</v>
      </c>
      <c r="BI44" s="1234">
        <v>421225</v>
      </c>
      <c r="BJ44" s="1234">
        <v>135133</v>
      </c>
      <c r="BK44" s="1234">
        <v>163364</v>
      </c>
      <c r="BL44" s="1235">
        <v>1993.2</v>
      </c>
      <c r="BM44" s="1234">
        <v>0</v>
      </c>
      <c r="BN44" s="1234">
        <v>0</v>
      </c>
      <c r="BO44" s="1235">
        <v>0</v>
      </c>
      <c r="BP44" s="1234">
        <v>0</v>
      </c>
      <c r="BQ44" s="1234">
        <v>0</v>
      </c>
      <c r="BR44" s="1234">
        <v>0</v>
      </c>
      <c r="BS44" s="1235">
        <v>0</v>
      </c>
      <c r="BT44" s="1234">
        <v>0</v>
      </c>
      <c r="BU44" s="1234">
        <v>165</v>
      </c>
      <c r="BV44" s="1247">
        <v>0</v>
      </c>
    </row>
    <row r="45" spans="1:74" s="1141" customFormat="1" ht="10.35" customHeight="1">
      <c r="A45" s="1898"/>
      <c r="B45" s="1351" t="s">
        <v>1128</v>
      </c>
      <c r="C45" s="1237">
        <v>1942112</v>
      </c>
      <c r="D45" s="1238">
        <v>153663.03</v>
      </c>
      <c r="E45" s="1237">
        <v>2425</v>
      </c>
      <c r="F45" s="1238">
        <v>81.829999999999984</v>
      </c>
      <c r="G45" s="1237">
        <v>1944537</v>
      </c>
      <c r="H45" s="1238">
        <v>153744.84999999998</v>
      </c>
      <c r="I45" s="1237">
        <v>889739</v>
      </c>
      <c r="J45" s="1238">
        <v>8048.8099999999995</v>
      </c>
      <c r="K45" s="1237">
        <v>103778</v>
      </c>
      <c r="L45" s="1238">
        <v>71.13</v>
      </c>
      <c r="M45" s="1237">
        <v>2746</v>
      </c>
      <c r="N45" s="1238">
        <v>4.3999999999999986</v>
      </c>
      <c r="O45" s="1237">
        <v>780267</v>
      </c>
      <c r="P45" s="1238">
        <v>427.21999999999997</v>
      </c>
      <c r="Q45" s="1237">
        <v>101492</v>
      </c>
      <c r="R45" s="1238">
        <v>99.559999999999988</v>
      </c>
      <c r="S45" s="1237">
        <v>78051</v>
      </c>
      <c r="T45" s="1238">
        <v>14.959999999999997</v>
      </c>
      <c r="U45" s="1237">
        <v>31870</v>
      </c>
      <c r="V45" s="1238">
        <v>29.99</v>
      </c>
      <c r="W45" s="1237">
        <v>1098204</v>
      </c>
      <c r="X45" s="1238">
        <v>647.29000000000019</v>
      </c>
      <c r="Y45" s="1238">
        <v>3122.7900000000004</v>
      </c>
      <c r="Z45" s="1898"/>
      <c r="AA45" s="1351" t="s">
        <v>1128</v>
      </c>
      <c r="AB45" s="1237">
        <v>11742423</v>
      </c>
      <c r="AC45" s="1238">
        <v>8674.5699999999961</v>
      </c>
      <c r="AD45" s="1237">
        <v>1202</v>
      </c>
      <c r="AE45" s="1238">
        <v>3.13</v>
      </c>
      <c r="AF45" s="1237">
        <v>557957</v>
      </c>
      <c r="AG45" s="1238">
        <v>428.78999999999996</v>
      </c>
      <c r="AH45" s="1237">
        <v>4508</v>
      </c>
      <c r="AI45" s="1238">
        <v>7.3100000000000005</v>
      </c>
      <c r="AJ45" s="1237">
        <v>69656</v>
      </c>
      <c r="AK45" s="1238">
        <v>16.579999999999998</v>
      </c>
      <c r="AL45" s="1237">
        <v>1755</v>
      </c>
      <c r="AM45" s="1238">
        <v>1.8900000000000001</v>
      </c>
      <c r="AN45" s="1237">
        <v>12377501</v>
      </c>
      <c r="AO45" s="1238">
        <v>9132.2299999999977</v>
      </c>
      <c r="AP45" s="1237">
        <v>56274</v>
      </c>
      <c r="AQ45" s="1253">
        <v>38.079999999999991</v>
      </c>
      <c r="AR45" s="1237">
        <v>8437</v>
      </c>
      <c r="AS45" s="1238">
        <v>3.88</v>
      </c>
      <c r="AT45" s="1237">
        <v>43526</v>
      </c>
      <c r="AU45" s="1238">
        <v>69.69</v>
      </c>
      <c r="AV45" s="1237">
        <v>75381</v>
      </c>
      <c r="AW45" s="1238">
        <v>77.239999999999995</v>
      </c>
      <c r="AX45" s="1898"/>
      <c r="AY45" s="1351" t="s">
        <v>1128</v>
      </c>
      <c r="AZ45" s="1237">
        <v>40657</v>
      </c>
      <c r="BA45" s="1238">
        <v>6.18</v>
      </c>
      <c r="BB45" s="1237">
        <v>159564</v>
      </c>
      <c r="BC45" s="1238">
        <v>153.13999999999999</v>
      </c>
      <c r="BD45" s="1237">
        <v>13695472</v>
      </c>
      <c r="BE45" s="1238">
        <v>9967.3599999999988</v>
      </c>
      <c r="BF45" s="1237">
        <v>925025</v>
      </c>
      <c r="BG45" s="1237">
        <v>9705601</v>
      </c>
      <c r="BH45" s="1237">
        <v>172201</v>
      </c>
      <c r="BI45" s="1237">
        <v>10802827</v>
      </c>
      <c r="BJ45" s="1237">
        <v>1511286</v>
      </c>
      <c r="BK45" s="1237">
        <v>559511</v>
      </c>
      <c r="BL45" s="1238">
        <v>2586.9899999999998</v>
      </c>
      <c r="BM45" s="1237">
        <v>707484</v>
      </c>
      <c r="BN45" s="1237">
        <v>129568303</v>
      </c>
      <c r="BO45" s="1238">
        <v>21933.640000000003</v>
      </c>
      <c r="BP45" s="1237">
        <v>39811048</v>
      </c>
      <c r="BQ45" s="1237">
        <v>2221</v>
      </c>
      <c r="BR45" s="1237">
        <v>505046</v>
      </c>
      <c r="BS45" s="1238">
        <v>788.68999999999994</v>
      </c>
      <c r="BT45" s="1237">
        <v>463058</v>
      </c>
      <c r="BU45" s="1237">
        <v>8909</v>
      </c>
      <c r="BV45" s="1249">
        <v>33406</v>
      </c>
    </row>
    <row r="46" spans="1:74" s="1141" customFormat="1" ht="10.35" customHeight="1">
      <c r="A46" s="1897" t="s">
        <v>1207</v>
      </c>
      <c r="B46" s="1135" t="s">
        <v>2515</v>
      </c>
      <c r="C46" s="1234">
        <v>345581</v>
      </c>
      <c r="D46" s="1235">
        <v>33041.660000000003</v>
      </c>
      <c r="E46" s="1234">
        <v>0</v>
      </c>
      <c r="F46" s="1235">
        <v>0</v>
      </c>
      <c r="G46" s="1234">
        <v>345581</v>
      </c>
      <c r="H46" s="1235">
        <v>33041.660000000003</v>
      </c>
      <c r="I46" s="1234">
        <v>18165</v>
      </c>
      <c r="J46" s="1235">
        <v>147.25</v>
      </c>
      <c r="K46" s="1234">
        <v>3703</v>
      </c>
      <c r="L46" s="1235">
        <v>3.5999999999999996</v>
      </c>
      <c r="M46" s="1234">
        <v>0</v>
      </c>
      <c r="N46" s="1235">
        <v>0</v>
      </c>
      <c r="O46" s="1234">
        <v>2652</v>
      </c>
      <c r="P46" s="1235">
        <v>0.87</v>
      </c>
      <c r="Q46" s="1234">
        <v>36</v>
      </c>
      <c r="R46" s="1235">
        <v>0.13</v>
      </c>
      <c r="S46" s="1234">
        <v>0</v>
      </c>
      <c r="T46" s="1235">
        <v>0</v>
      </c>
      <c r="U46" s="1234">
        <v>0</v>
      </c>
      <c r="V46" s="1235">
        <v>0</v>
      </c>
      <c r="W46" s="1234">
        <v>6391</v>
      </c>
      <c r="X46" s="1235">
        <v>4.6099999999999994</v>
      </c>
      <c r="Y46" s="1235">
        <v>8.09</v>
      </c>
      <c r="Z46" s="1897" t="s">
        <v>1207</v>
      </c>
      <c r="AA46" s="1135" t="s">
        <v>2515</v>
      </c>
      <c r="AB46" s="1234">
        <v>159684</v>
      </c>
      <c r="AC46" s="1235">
        <v>151.44999999999999</v>
      </c>
      <c r="AD46" s="1234">
        <v>0</v>
      </c>
      <c r="AE46" s="1235">
        <v>0</v>
      </c>
      <c r="AF46" s="1234">
        <v>3959</v>
      </c>
      <c r="AG46" s="1235">
        <v>1.28</v>
      </c>
      <c r="AH46" s="1234">
        <v>0</v>
      </c>
      <c r="AI46" s="1235">
        <v>0</v>
      </c>
      <c r="AJ46" s="1234">
        <v>0</v>
      </c>
      <c r="AK46" s="1235">
        <v>0</v>
      </c>
      <c r="AL46" s="1234">
        <v>0</v>
      </c>
      <c r="AM46" s="1235">
        <v>0</v>
      </c>
      <c r="AN46" s="1234">
        <v>163643</v>
      </c>
      <c r="AO46" s="1235">
        <v>152.73000000000002</v>
      </c>
      <c r="AP46" s="1234">
        <v>22</v>
      </c>
      <c r="AQ46" s="1236">
        <v>0</v>
      </c>
      <c r="AR46" s="1234">
        <v>0</v>
      </c>
      <c r="AS46" s="1235">
        <v>0</v>
      </c>
      <c r="AT46" s="1234">
        <v>0</v>
      </c>
      <c r="AU46" s="1235">
        <v>0</v>
      </c>
      <c r="AV46" s="1234">
        <v>0</v>
      </c>
      <c r="AW46" s="1235">
        <v>0</v>
      </c>
      <c r="AX46" s="1897" t="s">
        <v>1207</v>
      </c>
      <c r="AY46" s="1135" t="s">
        <v>2515</v>
      </c>
      <c r="AZ46" s="1234">
        <v>0</v>
      </c>
      <c r="BA46" s="1235">
        <v>0</v>
      </c>
      <c r="BB46" s="1234">
        <v>0</v>
      </c>
      <c r="BC46" s="1235">
        <v>0</v>
      </c>
      <c r="BD46" s="1234">
        <v>170056</v>
      </c>
      <c r="BE46" s="1235">
        <v>157.32999999999998</v>
      </c>
      <c r="BF46" s="1234">
        <v>2486</v>
      </c>
      <c r="BG46" s="1234">
        <v>124493</v>
      </c>
      <c r="BH46" s="1234">
        <v>3306</v>
      </c>
      <c r="BI46" s="1234">
        <v>130285</v>
      </c>
      <c r="BJ46" s="1234">
        <v>0</v>
      </c>
      <c r="BK46" s="1234">
        <v>0</v>
      </c>
      <c r="BL46" s="1235">
        <v>0</v>
      </c>
      <c r="BM46" s="1234">
        <v>59290</v>
      </c>
      <c r="BN46" s="1234">
        <v>145581</v>
      </c>
      <c r="BO46" s="1235">
        <v>52.39</v>
      </c>
      <c r="BP46" s="1234">
        <v>396243</v>
      </c>
      <c r="BQ46" s="1234">
        <v>0</v>
      </c>
      <c r="BR46" s="1234">
        <v>0</v>
      </c>
      <c r="BS46" s="1235">
        <v>0</v>
      </c>
      <c r="BT46" s="1234">
        <v>0</v>
      </c>
      <c r="BU46" s="1234">
        <v>220</v>
      </c>
      <c r="BV46" s="1247">
        <v>0</v>
      </c>
    </row>
    <row r="47" spans="1:74" s="1141" customFormat="1" ht="10.35" customHeight="1">
      <c r="A47" s="1897"/>
      <c r="B47" s="1242" t="s">
        <v>2516</v>
      </c>
      <c r="C47" s="1239">
        <v>13374</v>
      </c>
      <c r="D47" s="1240">
        <v>1060.3499999999999</v>
      </c>
      <c r="E47" s="1239">
        <v>396</v>
      </c>
      <c r="F47" s="1240">
        <v>8.83</v>
      </c>
      <c r="G47" s="1239">
        <v>13770</v>
      </c>
      <c r="H47" s="1240">
        <v>1069.18</v>
      </c>
      <c r="I47" s="1239">
        <v>66</v>
      </c>
      <c r="J47" s="1240">
        <v>17.98</v>
      </c>
      <c r="K47" s="1239">
        <v>0</v>
      </c>
      <c r="L47" s="1240">
        <v>0</v>
      </c>
      <c r="M47" s="1239">
        <v>0</v>
      </c>
      <c r="N47" s="1240">
        <v>0</v>
      </c>
      <c r="O47" s="1239">
        <v>0</v>
      </c>
      <c r="P47" s="1240">
        <v>0</v>
      </c>
      <c r="Q47" s="1239">
        <v>0</v>
      </c>
      <c r="R47" s="1240">
        <v>0</v>
      </c>
      <c r="S47" s="1239">
        <v>0</v>
      </c>
      <c r="T47" s="1240">
        <v>0</v>
      </c>
      <c r="U47" s="1239">
        <v>0</v>
      </c>
      <c r="V47" s="1240">
        <v>0</v>
      </c>
      <c r="W47" s="1239">
        <v>0</v>
      </c>
      <c r="X47" s="1240">
        <v>0</v>
      </c>
      <c r="Y47" s="1240">
        <v>0</v>
      </c>
      <c r="Z47" s="1897"/>
      <c r="AA47" s="1242" t="s">
        <v>2516</v>
      </c>
      <c r="AB47" s="1239">
        <v>4157</v>
      </c>
      <c r="AC47" s="1240">
        <v>3.1</v>
      </c>
      <c r="AD47" s="1239">
        <v>0</v>
      </c>
      <c r="AE47" s="1240">
        <v>0</v>
      </c>
      <c r="AF47" s="1239">
        <v>95</v>
      </c>
      <c r="AG47" s="1240">
        <v>0.02</v>
      </c>
      <c r="AH47" s="1239">
        <v>0</v>
      </c>
      <c r="AI47" s="1240">
        <v>0</v>
      </c>
      <c r="AJ47" s="1239">
        <v>0</v>
      </c>
      <c r="AK47" s="1240">
        <v>0</v>
      </c>
      <c r="AL47" s="1239">
        <v>0</v>
      </c>
      <c r="AM47" s="1240">
        <v>0</v>
      </c>
      <c r="AN47" s="1239">
        <v>4252</v>
      </c>
      <c r="AO47" s="1240">
        <v>3.13</v>
      </c>
      <c r="AP47" s="1239">
        <v>0</v>
      </c>
      <c r="AQ47" s="1241">
        <v>0</v>
      </c>
      <c r="AR47" s="1239">
        <v>0</v>
      </c>
      <c r="AS47" s="1240">
        <v>0</v>
      </c>
      <c r="AT47" s="1239">
        <v>0</v>
      </c>
      <c r="AU47" s="1240">
        <v>0</v>
      </c>
      <c r="AV47" s="1239">
        <v>0</v>
      </c>
      <c r="AW47" s="1240">
        <v>0</v>
      </c>
      <c r="AX47" s="1897"/>
      <c r="AY47" s="1242" t="s">
        <v>2516</v>
      </c>
      <c r="AZ47" s="1239">
        <v>0</v>
      </c>
      <c r="BA47" s="1240">
        <v>0</v>
      </c>
      <c r="BB47" s="1239">
        <v>0</v>
      </c>
      <c r="BC47" s="1240">
        <v>0</v>
      </c>
      <c r="BD47" s="1239">
        <v>4252</v>
      </c>
      <c r="BE47" s="1240">
        <v>3.13</v>
      </c>
      <c r="BF47" s="1239">
        <v>0</v>
      </c>
      <c r="BG47" s="1239">
        <v>3632</v>
      </c>
      <c r="BH47" s="1239">
        <v>0</v>
      </c>
      <c r="BI47" s="1239">
        <v>3632</v>
      </c>
      <c r="BJ47" s="1239">
        <v>0</v>
      </c>
      <c r="BK47" s="1239">
        <v>0</v>
      </c>
      <c r="BL47" s="1240">
        <v>0</v>
      </c>
      <c r="BM47" s="1239">
        <v>0</v>
      </c>
      <c r="BN47" s="1239">
        <v>0</v>
      </c>
      <c r="BO47" s="1240">
        <v>0</v>
      </c>
      <c r="BP47" s="1239">
        <v>0</v>
      </c>
      <c r="BQ47" s="1239">
        <v>0</v>
      </c>
      <c r="BR47" s="1239">
        <v>0</v>
      </c>
      <c r="BS47" s="1240">
        <v>0</v>
      </c>
      <c r="BT47" s="1239">
        <v>0</v>
      </c>
      <c r="BU47" s="1239">
        <v>6</v>
      </c>
      <c r="BV47" s="1248">
        <v>0</v>
      </c>
    </row>
    <row r="48" spans="1:74" s="1141" customFormat="1" ht="10.35" customHeight="1">
      <c r="A48" s="1897"/>
      <c r="B48" s="1135" t="s">
        <v>2517</v>
      </c>
      <c r="C48" s="1234">
        <v>1301334</v>
      </c>
      <c r="D48" s="1235">
        <v>114841.69</v>
      </c>
      <c r="E48" s="1234">
        <v>1342</v>
      </c>
      <c r="F48" s="1235">
        <v>32.4</v>
      </c>
      <c r="G48" s="1234">
        <v>1302676</v>
      </c>
      <c r="H48" s="1235">
        <v>114874.06999999999</v>
      </c>
      <c r="I48" s="1234">
        <v>856495</v>
      </c>
      <c r="J48" s="1235">
        <v>5643.4000000000005</v>
      </c>
      <c r="K48" s="1234">
        <v>93434</v>
      </c>
      <c r="L48" s="1235">
        <v>63.899999999999991</v>
      </c>
      <c r="M48" s="1234">
        <v>3195</v>
      </c>
      <c r="N48" s="1235">
        <v>4.46</v>
      </c>
      <c r="O48" s="1234">
        <v>609506</v>
      </c>
      <c r="P48" s="1235">
        <v>351.67999999999995</v>
      </c>
      <c r="Q48" s="1234">
        <v>107957</v>
      </c>
      <c r="R48" s="1235">
        <v>102.71000000000001</v>
      </c>
      <c r="S48" s="1234">
        <v>58877</v>
      </c>
      <c r="T48" s="1235">
        <v>8.8399999999999963</v>
      </c>
      <c r="U48" s="1234">
        <v>30637</v>
      </c>
      <c r="V48" s="1235">
        <v>31.230000000000004</v>
      </c>
      <c r="W48" s="1234">
        <v>903606</v>
      </c>
      <c r="X48" s="1235">
        <v>562.87</v>
      </c>
      <c r="Y48" s="1235">
        <v>2571.1</v>
      </c>
      <c r="Z48" s="1897"/>
      <c r="AA48" s="1135" t="s">
        <v>2517</v>
      </c>
      <c r="AB48" s="1234">
        <v>11540067</v>
      </c>
      <c r="AC48" s="1235">
        <v>8319.6</v>
      </c>
      <c r="AD48" s="1234">
        <v>274</v>
      </c>
      <c r="AE48" s="1235">
        <v>0.49</v>
      </c>
      <c r="AF48" s="1234">
        <v>519055</v>
      </c>
      <c r="AG48" s="1235">
        <v>415.29999999999967</v>
      </c>
      <c r="AH48" s="1234">
        <v>1819</v>
      </c>
      <c r="AI48" s="1235">
        <v>3.6</v>
      </c>
      <c r="AJ48" s="1234">
        <v>50881</v>
      </c>
      <c r="AK48" s="1235">
        <v>10.429999999999998</v>
      </c>
      <c r="AL48" s="1234">
        <v>571</v>
      </c>
      <c r="AM48" s="1235">
        <v>0.56999999999999995</v>
      </c>
      <c r="AN48" s="1234">
        <v>12112667</v>
      </c>
      <c r="AO48" s="1235">
        <v>8749.9900000000016</v>
      </c>
      <c r="AP48" s="1234">
        <v>64965</v>
      </c>
      <c r="AQ48" s="1236">
        <v>48.379999999999995</v>
      </c>
      <c r="AR48" s="1234">
        <v>10955</v>
      </c>
      <c r="AS48" s="1235">
        <v>3.9400000000000004</v>
      </c>
      <c r="AT48" s="1234">
        <v>21850</v>
      </c>
      <c r="AU48" s="1235">
        <v>40.599999999999994</v>
      </c>
      <c r="AV48" s="1234">
        <v>86351</v>
      </c>
      <c r="AW48" s="1235">
        <v>83.27000000000001</v>
      </c>
      <c r="AX48" s="1897"/>
      <c r="AY48" s="1135" t="s">
        <v>2517</v>
      </c>
      <c r="AZ48" s="1234">
        <v>39549</v>
      </c>
      <c r="BA48" s="1235">
        <v>17.36</v>
      </c>
      <c r="BB48" s="1234">
        <v>147750</v>
      </c>
      <c r="BC48" s="1235">
        <v>141.26</v>
      </c>
      <c r="BD48" s="1234">
        <v>13238124</v>
      </c>
      <c r="BE48" s="1235">
        <v>9502.84</v>
      </c>
      <c r="BF48" s="1234">
        <v>846818</v>
      </c>
      <c r="BG48" s="1234">
        <v>9512285</v>
      </c>
      <c r="BH48" s="1234">
        <v>154137</v>
      </c>
      <c r="BI48" s="1234">
        <v>10513240</v>
      </c>
      <c r="BJ48" s="1234">
        <v>1391142</v>
      </c>
      <c r="BK48" s="1234">
        <v>340241</v>
      </c>
      <c r="BL48" s="1235">
        <v>557.16999999999985</v>
      </c>
      <c r="BM48" s="1234">
        <v>650736</v>
      </c>
      <c r="BN48" s="1234">
        <v>133581876</v>
      </c>
      <c r="BO48" s="1235">
        <v>23161.259999999995</v>
      </c>
      <c r="BP48" s="1234">
        <v>40650876</v>
      </c>
      <c r="BQ48" s="1234">
        <v>2334</v>
      </c>
      <c r="BR48" s="1234">
        <v>549004</v>
      </c>
      <c r="BS48" s="1235">
        <v>879.54000000000008</v>
      </c>
      <c r="BT48" s="1234">
        <v>525144</v>
      </c>
      <c r="BU48" s="1234">
        <v>8628</v>
      </c>
      <c r="BV48" s="1247">
        <v>32953</v>
      </c>
    </row>
    <row r="49" spans="1:74" s="1141" customFormat="1" ht="10.35" customHeight="1">
      <c r="A49" s="1897"/>
      <c r="B49" s="1242" t="s">
        <v>2541</v>
      </c>
      <c r="C49" s="1239">
        <v>152749</v>
      </c>
      <c r="D49" s="1240">
        <v>12685.32</v>
      </c>
      <c r="E49" s="1239">
        <v>0</v>
      </c>
      <c r="F49" s="1240">
        <v>0</v>
      </c>
      <c r="G49" s="1239">
        <v>152749</v>
      </c>
      <c r="H49" s="1240">
        <v>12685.32</v>
      </c>
      <c r="I49" s="1239">
        <v>279729</v>
      </c>
      <c r="J49" s="1240">
        <v>2607.4700000000003</v>
      </c>
      <c r="K49" s="1239">
        <v>8726</v>
      </c>
      <c r="L49" s="1240">
        <v>8.4499999999999993</v>
      </c>
      <c r="M49" s="1239">
        <v>169</v>
      </c>
      <c r="N49" s="1240">
        <v>0.15</v>
      </c>
      <c r="O49" s="1239">
        <v>234346</v>
      </c>
      <c r="P49" s="1240">
        <v>113.25</v>
      </c>
      <c r="Q49" s="1239">
        <v>8226</v>
      </c>
      <c r="R49" s="1240">
        <v>7.63</v>
      </c>
      <c r="S49" s="1239">
        <v>26276</v>
      </c>
      <c r="T49" s="1240">
        <v>6.5</v>
      </c>
      <c r="U49" s="1239">
        <v>2418</v>
      </c>
      <c r="V49" s="1240">
        <v>1.83</v>
      </c>
      <c r="W49" s="1239">
        <v>280161</v>
      </c>
      <c r="X49" s="1240">
        <v>137.82</v>
      </c>
      <c r="Y49" s="1240">
        <v>611.31999999999994</v>
      </c>
      <c r="Z49" s="1897"/>
      <c r="AA49" s="1242" t="s">
        <v>2541</v>
      </c>
      <c r="AB49" s="1239">
        <v>515557</v>
      </c>
      <c r="AC49" s="1240">
        <v>609.71</v>
      </c>
      <c r="AD49" s="1239">
        <v>1062</v>
      </c>
      <c r="AE49" s="1240">
        <v>2.4400000000000004</v>
      </c>
      <c r="AF49" s="1239">
        <v>93700</v>
      </c>
      <c r="AG49" s="1240">
        <v>32.019999999999996</v>
      </c>
      <c r="AH49" s="1239">
        <v>2468</v>
      </c>
      <c r="AI49" s="1240">
        <v>3.8099999999999996</v>
      </c>
      <c r="AJ49" s="1239">
        <v>12392</v>
      </c>
      <c r="AK49" s="1240">
        <v>1.01</v>
      </c>
      <c r="AL49" s="1239">
        <v>1211</v>
      </c>
      <c r="AM49" s="1240">
        <v>1.61</v>
      </c>
      <c r="AN49" s="1239">
        <v>626390</v>
      </c>
      <c r="AO49" s="1240">
        <v>650.62</v>
      </c>
      <c r="AP49" s="1239">
        <v>0</v>
      </c>
      <c r="AQ49" s="1241">
        <v>0</v>
      </c>
      <c r="AR49" s="1239">
        <v>489</v>
      </c>
      <c r="AS49" s="1240">
        <v>0.67</v>
      </c>
      <c r="AT49" s="1239">
        <v>13206</v>
      </c>
      <c r="AU49" s="1240">
        <v>29.93</v>
      </c>
      <c r="AV49" s="1239">
        <v>0</v>
      </c>
      <c r="AW49" s="1240">
        <v>0</v>
      </c>
      <c r="AX49" s="1897"/>
      <c r="AY49" s="1242" t="s">
        <v>2541</v>
      </c>
      <c r="AZ49" s="1239">
        <v>0</v>
      </c>
      <c r="BA49" s="1240">
        <v>0</v>
      </c>
      <c r="BB49" s="1239">
        <v>13206</v>
      </c>
      <c r="BC49" s="1240">
        <v>29.93</v>
      </c>
      <c r="BD49" s="1239">
        <v>917778</v>
      </c>
      <c r="BE49" s="1240">
        <v>815.24</v>
      </c>
      <c r="BF49" s="1239">
        <v>97650</v>
      </c>
      <c r="BG49" s="1239">
        <v>308280</v>
      </c>
      <c r="BH49" s="1239">
        <v>18742</v>
      </c>
      <c r="BI49" s="1239">
        <v>424672</v>
      </c>
      <c r="BJ49" s="1239">
        <v>135446</v>
      </c>
      <c r="BK49" s="1239">
        <v>155809</v>
      </c>
      <c r="BL49" s="1240">
        <v>2024.8400000000001</v>
      </c>
      <c r="BM49" s="1239">
        <v>0</v>
      </c>
      <c r="BN49" s="1239">
        <v>0</v>
      </c>
      <c r="BO49" s="1240">
        <v>0</v>
      </c>
      <c r="BP49" s="1239">
        <v>0</v>
      </c>
      <c r="BQ49" s="1239">
        <v>0</v>
      </c>
      <c r="BR49" s="1239">
        <v>0</v>
      </c>
      <c r="BS49" s="1240">
        <v>0</v>
      </c>
      <c r="BT49" s="1239">
        <v>0</v>
      </c>
      <c r="BU49" s="1239">
        <v>165</v>
      </c>
      <c r="BV49" s="1248">
        <v>0</v>
      </c>
    </row>
    <row r="50" spans="1:74" s="1141" customFormat="1" ht="10.35" customHeight="1">
      <c r="A50" s="1898"/>
      <c r="B50" s="1140" t="s">
        <v>1128</v>
      </c>
      <c r="C50" s="1189">
        <v>1813038</v>
      </c>
      <c r="D50" s="1190">
        <v>161629.02000000002</v>
      </c>
      <c r="E50" s="1189">
        <v>1738</v>
      </c>
      <c r="F50" s="1190">
        <v>41.23</v>
      </c>
      <c r="G50" s="1189">
        <v>1814776</v>
      </c>
      <c r="H50" s="1190">
        <v>161670.23000000001</v>
      </c>
      <c r="I50" s="1189">
        <v>1154455</v>
      </c>
      <c r="J50" s="1190">
        <v>8416.1</v>
      </c>
      <c r="K50" s="1189">
        <v>105863</v>
      </c>
      <c r="L50" s="1190">
        <v>75.949999999999989</v>
      </c>
      <c r="M50" s="1189">
        <v>3364</v>
      </c>
      <c r="N50" s="1190">
        <v>4.6100000000000003</v>
      </c>
      <c r="O50" s="1189">
        <v>846504</v>
      </c>
      <c r="P50" s="1190">
        <v>465.79999999999995</v>
      </c>
      <c r="Q50" s="1189">
        <v>116219</v>
      </c>
      <c r="R50" s="1190">
        <v>110.47</v>
      </c>
      <c r="S50" s="1189">
        <v>85153</v>
      </c>
      <c r="T50" s="1190">
        <v>15.339999999999996</v>
      </c>
      <c r="U50" s="1189">
        <v>33055</v>
      </c>
      <c r="V50" s="1190">
        <v>33.06</v>
      </c>
      <c r="W50" s="1189">
        <v>1190158</v>
      </c>
      <c r="X50" s="1190">
        <v>705.3</v>
      </c>
      <c r="Y50" s="1190">
        <v>3190.51</v>
      </c>
      <c r="Z50" s="1898"/>
      <c r="AA50" s="1140" t="s">
        <v>1128</v>
      </c>
      <c r="AB50" s="1189">
        <v>12219465</v>
      </c>
      <c r="AC50" s="1190">
        <v>9083.86</v>
      </c>
      <c r="AD50" s="1189">
        <v>1336</v>
      </c>
      <c r="AE50" s="1190">
        <v>2.9300000000000006</v>
      </c>
      <c r="AF50" s="1189">
        <v>616809</v>
      </c>
      <c r="AG50" s="1190">
        <v>448.61999999999966</v>
      </c>
      <c r="AH50" s="1189">
        <v>4287</v>
      </c>
      <c r="AI50" s="1190">
        <v>7.41</v>
      </c>
      <c r="AJ50" s="1189">
        <v>63273</v>
      </c>
      <c r="AK50" s="1190">
        <v>11.439999999999998</v>
      </c>
      <c r="AL50" s="1189">
        <v>1782</v>
      </c>
      <c r="AM50" s="1190">
        <v>2.1800000000000002</v>
      </c>
      <c r="AN50" s="1189">
        <v>12906952</v>
      </c>
      <c r="AO50" s="1190">
        <v>9556.470000000003</v>
      </c>
      <c r="AP50" s="1189">
        <v>64987</v>
      </c>
      <c r="AQ50" s="1213">
        <v>48.379999999999995</v>
      </c>
      <c r="AR50" s="1189">
        <v>11444</v>
      </c>
      <c r="AS50" s="1190">
        <v>4.6100000000000003</v>
      </c>
      <c r="AT50" s="1189">
        <v>35056</v>
      </c>
      <c r="AU50" s="1190">
        <v>70.53</v>
      </c>
      <c r="AV50" s="1189">
        <v>86351</v>
      </c>
      <c r="AW50" s="1190">
        <v>83.27000000000001</v>
      </c>
      <c r="AX50" s="1898"/>
      <c r="AY50" s="1140" t="s">
        <v>1128</v>
      </c>
      <c r="AZ50" s="1189">
        <v>39549</v>
      </c>
      <c r="BA50" s="1190">
        <v>17.36</v>
      </c>
      <c r="BB50" s="1189">
        <v>160956</v>
      </c>
      <c r="BC50" s="1190">
        <v>171.19</v>
      </c>
      <c r="BD50" s="1189">
        <v>14330210</v>
      </c>
      <c r="BE50" s="1190">
        <v>10478.539999999999</v>
      </c>
      <c r="BF50" s="1189">
        <v>946954</v>
      </c>
      <c r="BG50" s="1189">
        <v>9948690</v>
      </c>
      <c r="BH50" s="1189">
        <v>176185</v>
      </c>
      <c r="BI50" s="1189">
        <v>11071829</v>
      </c>
      <c r="BJ50" s="1189">
        <v>1526588</v>
      </c>
      <c r="BK50" s="1189">
        <v>496050</v>
      </c>
      <c r="BL50" s="1190">
        <v>2582.0100000000002</v>
      </c>
      <c r="BM50" s="1189">
        <v>710026</v>
      </c>
      <c r="BN50" s="1189">
        <v>133727457</v>
      </c>
      <c r="BO50" s="1190">
        <v>23213.649999999994</v>
      </c>
      <c r="BP50" s="1189">
        <v>41047119</v>
      </c>
      <c r="BQ50" s="1189">
        <v>2334</v>
      </c>
      <c r="BR50" s="1189">
        <v>549004</v>
      </c>
      <c r="BS50" s="1190">
        <v>879.54000000000008</v>
      </c>
      <c r="BT50" s="1189">
        <v>525144</v>
      </c>
      <c r="BU50" s="1189">
        <v>9019</v>
      </c>
      <c r="BV50" s="1191">
        <v>32953</v>
      </c>
    </row>
    <row r="51" spans="1:74" s="1142" customFormat="1" ht="12" customHeight="1">
      <c r="B51" s="1142" t="s">
        <v>2514</v>
      </c>
      <c r="C51" s="1142" t="s">
        <v>2619</v>
      </c>
      <c r="M51" s="1142" t="s">
        <v>52</v>
      </c>
      <c r="N51" s="1142" t="s">
        <v>2649</v>
      </c>
      <c r="Z51" s="1243"/>
      <c r="AA51" s="1913" t="s">
        <v>2618</v>
      </c>
      <c r="AB51" s="1914"/>
      <c r="AC51" s="1914"/>
      <c r="AD51" s="1914"/>
      <c r="AE51" s="1914"/>
      <c r="AF51" s="1914"/>
      <c r="AG51" s="1914"/>
      <c r="AX51" s="1243"/>
      <c r="AY51" s="1142" t="s">
        <v>2663</v>
      </c>
    </row>
    <row r="52" spans="1:74">
      <c r="C52" s="1142"/>
      <c r="AB52" s="1142"/>
      <c r="AY52" s="1142"/>
    </row>
  </sheetData>
  <mergeCells count="125">
    <mergeCell ref="AA51:AG51"/>
    <mergeCell ref="AX21:AX25"/>
    <mergeCell ref="Z21:Z25"/>
    <mergeCell ref="AX41:AX45"/>
    <mergeCell ref="Z36:Z40"/>
    <mergeCell ref="AX36:AX40"/>
    <mergeCell ref="AX31:AX35"/>
    <mergeCell ref="A41:A45"/>
    <mergeCell ref="Z41:Z45"/>
    <mergeCell ref="AX15:AX19"/>
    <mergeCell ref="A46:A50"/>
    <mergeCell ref="Z46:Z50"/>
    <mergeCell ref="A31:A35"/>
    <mergeCell ref="AX46:AX50"/>
    <mergeCell ref="A15:A19"/>
    <mergeCell ref="Z15:Z19"/>
    <mergeCell ref="A36:A40"/>
    <mergeCell ref="AX26:AX30"/>
    <mergeCell ref="Z26:Z30"/>
    <mergeCell ref="Z31:Z35"/>
    <mergeCell ref="A20:B20"/>
    <mergeCell ref="Z20:AA20"/>
    <mergeCell ref="AX20:AY20"/>
    <mergeCell ref="Z9:AA9"/>
    <mergeCell ref="A10:A14"/>
    <mergeCell ref="Z10:Z14"/>
    <mergeCell ref="A26:A30"/>
    <mergeCell ref="I8:J8"/>
    <mergeCell ref="A9:B9"/>
    <mergeCell ref="A21:A25"/>
    <mergeCell ref="K8:L8"/>
    <mergeCell ref="O8:P8"/>
    <mergeCell ref="A3:B8"/>
    <mergeCell ref="C3:H4"/>
    <mergeCell ref="I3:J6"/>
    <mergeCell ref="K3:Y3"/>
    <mergeCell ref="M8:N8"/>
    <mergeCell ref="S8:T8"/>
    <mergeCell ref="U8:V8"/>
    <mergeCell ref="Q8:R8"/>
    <mergeCell ref="C5:D6"/>
    <mergeCell ref="E5:F6"/>
    <mergeCell ref="S6:T6"/>
    <mergeCell ref="K5:N5"/>
    <mergeCell ref="O5:R5"/>
    <mergeCell ref="S5:V5"/>
    <mergeCell ref="C8:D8"/>
    <mergeCell ref="AX10:AX14"/>
    <mergeCell ref="AB5:AE5"/>
    <mergeCell ref="AR6:AS6"/>
    <mergeCell ref="AZ6:BA6"/>
    <mergeCell ref="AP4:AS5"/>
    <mergeCell ref="AF6:AG6"/>
    <mergeCell ref="BD8:BE8"/>
    <mergeCell ref="AH8:AI8"/>
    <mergeCell ref="AF8:AG8"/>
    <mergeCell ref="AD8:AE8"/>
    <mergeCell ref="AB8:AC8"/>
    <mergeCell ref="AT6:AU6"/>
    <mergeCell ref="AZ4:BC5"/>
    <mergeCell ref="AZ8:BA8"/>
    <mergeCell ref="AT8:AU8"/>
    <mergeCell ref="AV8:AW8"/>
    <mergeCell ref="AJ8:AK8"/>
    <mergeCell ref="AL8:AM8"/>
    <mergeCell ref="AN8:AO8"/>
    <mergeCell ref="AP8:AQ8"/>
    <mergeCell ref="AR8:AS8"/>
    <mergeCell ref="AX3:AY8"/>
    <mergeCell ref="BB8:BC8"/>
    <mergeCell ref="AT4:AW5"/>
    <mergeCell ref="AX9:AY9"/>
    <mergeCell ref="BR8:BS8"/>
    <mergeCell ref="BN8:BO8"/>
    <mergeCell ref="BM3:BP4"/>
    <mergeCell ref="BQ3:BT4"/>
    <mergeCell ref="BQ5:BQ6"/>
    <mergeCell ref="BR5:BS6"/>
    <mergeCell ref="BH5:BH6"/>
    <mergeCell ref="BI5:BI6"/>
    <mergeCell ref="BB6:BC6"/>
    <mergeCell ref="E8:F8"/>
    <mergeCell ref="W5:X6"/>
    <mergeCell ref="AH1:AR1"/>
    <mergeCell ref="K4:Y4"/>
    <mergeCell ref="AB4:AO4"/>
    <mergeCell ref="AV6:AW6"/>
    <mergeCell ref="BF5:BF6"/>
    <mergeCell ref="BF3:BI4"/>
    <mergeCell ref="AH6:AI6"/>
    <mergeCell ref="AB3:AW3"/>
    <mergeCell ref="G5:H6"/>
    <mergeCell ref="V1:Y1"/>
    <mergeCell ref="K6:L6"/>
    <mergeCell ref="AP6:AQ6"/>
    <mergeCell ref="U6:V6"/>
    <mergeCell ref="M6:N6"/>
    <mergeCell ref="O6:P6"/>
    <mergeCell ref="Y5:Y6"/>
    <mergeCell ref="BG1:BO1"/>
    <mergeCell ref="BM5:BM6"/>
    <mergeCell ref="BN5:BO6"/>
    <mergeCell ref="BJ5:BJ6"/>
    <mergeCell ref="AZ3:BE3"/>
    <mergeCell ref="BD4:BE6"/>
    <mergeCell ref="BS1:BV1"/>
    <mergeCell ref="H1:S1"/>
    <mergeCell ref="BV3:BV6"/>
    <mergeCell ref="BK5:BL6"/>
    <mergeCell ref="BG5:BG6"/>
    <mergeCell ref="AT1:AW1"/>
    <mergeCell ref="AJ5:AM5"/>
    <mergeCell ref="BP5:BP6"/>
    <mergeCell ref="AD6:AE6"/>
    <mergeCell ref="AN5:AO6"/>
    <mergeCell ref="Z3:AA8"/>
    <mergeCell ref="W8:X8"/>
    <mergeCell ref="AL6:AM6"/>
    <mergeCell ref="AJ6:AK6"/>
    <mergeCell ref="Q6:R6"/>
    <mergeCell ref="AF5:AI5"/>
    <mergeCell ref="AB6:AC6"/>
    <mergeCell ref="BT5:BT6"/>
    <mergeCell ref="BJ3:BL4"/>
    <mergeCell ref="BU3:BU6"/>
  </mergeCells>
  <pageMargins left="0.502" right="0.5" top="0.51" bottom="0.51" header="0.3" footer="0.3"/>
  <pageSetup paperSize="512" firstPageNumber="22" orientation="portrait" useFirstPageNumber="1" r:id="rId1"/>
  <headerFooter alignWithMargins="0">
    <oddFooter>&amp;C&amp;"Times New Roman,Regular"&amp;8&amp;P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W192"/>
  <sheetViews>
    <sheetView zoomScale="110" zoomScaleNormal="110" workbookViewId="0">
      <pane xSplit="2" ySplit="5" topLeftCell="C51" activePane="bottomRight" state="frozen"/>
      <selection pane="topRight" activeCell="C1" sqref="C1"/>
      <selection pane="bottomLeft" activeCell="A6" sqref="A6"/>
      <selection pane="bottomRight" activeCell="C38" sqref="C38"/>
    </sheetView>
  </sheetViews>
  <sheetFormatPr defaultColWidth="9.140625" defaultRowHeight="11.25"/>
  <cols>
    <col min="1" max="1" width="8.5703125" style="334" customWidth="1"/>
    <col min="2" max="2" width="1.7109375" style="334" customWidth="1"/>
    <col min="3" max="3" width="9.7109375" style="334" customWidth="1"/>
    <col min="4" max="4" width="11.140625" style="334" customWidth="1"/>
    <col min="5" max="5" width="11" style="334" customWidth="1"/>
    <col min="6" max="6" width="11.42578125" style="334" customWidth="1"/>
    <col min="7" max="7" width="12.28515625" style="334" customWidth="1"/>
    <col min="8" max="8" width="12.42578125" style="334" customWidth="1"/>
    <col min="9" max="9" width="10.42578125" style="334" customWidth="1"/>
    <col min="10" max="10" width="10.140625" style="334" customWidth="1"/>
    <col min="11" max="11" width="10.7109375" style="334" customWidth="1"/>
    <col min="12" max="12" width="11.85546875" style="334" customWidth="1"/>
    <col min="13" max="13" width="10.5703125" style="334" customWidth="1"/>
    <col min="14" max="14" width="12.140625" style="334" customWidth="1"/>
    <col min="15" max="15" width="12.28515625" style="334" customWidth="1"/>
    <col min="16" max="16" width="8.85546875" style="334" customWidth="1"/>
    <col min="17" max="17" width="7.7109375" style="334" customWidth="1"/>
    <col min="18" max="18" width="8.5703125" style="334" customWidth="1"/>
    <col min="19" max="19" width="8.7109375" style="334" customWidth="1"/>
    <col min="20" max="20" width="9.140625" style="334"/>
    <col min="21" max="21" width="8.5703125" style="334" customWidth="1"/>
    <col min="22" max="22" width="13.7109375" style="334" customWidth="1"/>
    <col min="23" max="23" width="12.28515625" style="334" customWidth="1"/>
    <col min="24" max="16384" width="9.140625" style="334"/>
  </cols>
  <sheetData>
    <row r="1" spans="1:23" s="320" customFormat="1" ht="15" customHeight="1">
      <c r="A1" s="318"/>
      <c r="B1" s="318"/>
      <c r="C1" s="318"/>
      <c r="D1" s="318"/>
      <c r="E1" s="318"/>
      <c r="F1" s="318"/>
      <c r="G1" s="1918" t="s">
        <v>321</v>
      </c>
      <c r="H1" s="1918"/>
      <c r="I1" s="1917" t="s">
        <v>320</v>
      </c>
      <c r="J1" s="1917"/>
      <c r="K1" s="319"/>
      <c r="L1" s="319"/>
      <c r="M1" s="1918" t="s">
        <v>1056</v>
      </c>
      <c r="N1" s="1918"/>
      <c r="O1" s="1918"/>
      <c r="P1" s="1921" t="s">
        <v>554</v>
      </c>
      <c r="Q1" s="1921"/>
      <c r="R1" s="1921"/>
      <c r="S1" s="1921"/>
      <c r="T1" s="1921"/>
      <c r="U1" s="1918" t="s">
        <v>1057</v>
      </c>
      <c r="V1" s="1918"/>
      <c r="W1" s="1918"/>
    </row>
    <row r="2" spans="1:23" s="323" customFormat="1" ht="11.25" customHeight="1">
      <c r="A2" s="321"/>
      <c r="B2" s="321"/>
      <c r="C2" s="321"/>
      <c r="D2" s="321"/>
      <c r="E2" s="322"/>
      <c r="G2" s="324"/>
      <c r="I2" s="322"/>
      <c r="J2" s="322"/>
      <c r="K2" s="322"/>
      <c r="L2" s="322"/>
      <c r="M2" s="1919" t="s">
        <v>42</v>
      </c>
      <c r="N2" s="1919"/>
      <c r="O2" s="1919"/>
      <c r="P2" s="322"/>
      <c r="Q2" s="322"/>
      <c r="R2" s="325"/>
      <c r="S2" s="325"/>
      <c r="T2" s="325"/>
      <c r="U2" s="325"/>
      <c r="V2" s="1919" t="s">
        <v>42</v>
      </c>
      <c r="W2" s="1919"/>
    </row>
    <row r="3" spans="1:23" s="323" customFormat="1" ht="12.75" customHeight="1">
      <c r="A3" s="1827" t="s">
        <v>1132</v>
      </c>
      <c r="B3" s="1828"/>
      <c r="C3" s="1923" t="s">
        <v>1137</v>
      </c>
      <c r="D3" s="1924"/>
      <c r="E3" s="1925"/>
      <c r="F3" s="1922" t="s">
        <v>915</v>
      </c>
      <c r="G3" s="1922"/>
      <c r="H3" s="1922"/>
      <c r="I3" s="1922" t="s">
        <v>1954</v>
      </c>
      <c r="J3" s="1922"/>
      <c r="K3" s="1922"/>
      <c r="L3" s="1920" t="s">
        <v>1955</v>
      </c>
      <c r="M3" s="1920"/>
      <c r="N3" s="1920"/>
      <c r="O3" s="1929" t="s">
        <v>1992</v>
      </c>
      <c r="P3" s="1822" t="s">
        <v>1132</v>
      </c>
      <c r="Q3" s="1753" t="s">
        <v>1959</v>
      </c>
      <c r="R3" s="1923" t="s">
        <v>1958</v>
      </c>
      <c r="S3" s="1924"/>
      <c r="T3" s="1924"/>
      <c r="U3" s="1924"/>
      <c r="V3" s="1925"/>
      <c r="W3" s="1926" t="s">
        <v>1956</v>
      </c>
    </row>
    <row r="4" spans="1:23" s="326" customFormat="1" ht="29.25" customHeight="1">
      <c r="A4" s="1829"/>
      <c r="B4" s="1830"/>
      <c r="C4" s="129" t="s">
        <v>1989</v>
      </c>
      <c r="D4" s="129" t="s">
        <v>1990</v>
      </c>
      <c r="E4" s="129" t="s">
        <v>1991</v>
      </c>
      <c r="F4" s="129" t="s">
        <v>1138</v>
      </c>
      <c r="G4" s="129" t="s">
        <v>1139</v>
      </c>
      <c r="H4" s="129" t="s">
        <v>1331</v>
      </c>
      <c r="I4" s="129" t="s">
        <v>1138</v>
      </c>
      <c r="J4" s="129" t="s">
        <v>1139</v>
      </c>
      <c r="K4" s="129" t="s">
        <v>1332</v>
      </c>
      <c r="L4" s="129" t="s">
        <v>1140</v>
      </c>
      <c r="M4" s="129" t="s">
        <v>1129</v>
      </c>
      <c r="N4" s="129" t="s">
        <v>1336</v>
      </c>
      <c r="O4" s="1930"/>
      <c r="P4" s="1915"/>
      <c r="Q4" s="1756"/>
      <c r="R4" s="314" t="s">
        <v>1960</v>
      </c>
      <c r="S4" s="314" t="s">
        <v>1633</v>
      </c>
      <c r="T4" s="314" t="s">
        <v>1634</v>
      </c>
      <c r="U4" s="314" t="s">
        <v>1635</v>
      </c>
      <c r="V4" s="314" t="s">
        <v>1338</v>
      </c>
      <c r="W4" s="1927"/>
    </row>
    <row r="5" spans="1:23" s="419" customFormat="1" ht="17.25" customHeight="1">
      <c r="A5" s="1831"/>
      <c r="B5" s="1832"/>
      <c r="C5" s="646">
        <v>1</v>
      </c>
      <c r="D5" s="646">
        <v>2</v>
      </c>
      <c r="E5" s="646" t="s">
        <v>1335</v>
      </c>
      <c r="F5" s="646">
        <v>4</v>
      </c>
      <c r="G5" s="646">
        <v>5</v>
      </c>
      <c r="H5" s="646" t="s">
        <v>1334</v>
      </c>
      <c r="I5" s="646">
        <v>7</v>
      </c>
      <c r="J5" s="646">
        <v>8</v>
      </c>
      <c r="K5" s="646" t="s">
        <v>1333</v>
      </c>
      <c r="L5" s="646">
        <v>10</v>
      </c>
      <c r="M5" s="646">
        <v>11</v>
      </c>
      <c r="N5" s="646" t="s">
        <v>1337</v>
      </c>
      <c r="O5" s="646" t="s">
        <v>553</v>
      </c>
      <c r="P5" s="1916"/>
      <c r="Q5" s="954">
        <v>14</v>
      </c>
      <c r="R5" s="954">
        <v>15</v>
      </c>
      <c r="S5" s="954">
        <v>16</v>
      </c>
      <c r="T5" s="954">
        <v>17</v>
      </c>
      <c r="U5" s="954">
        <v>18</v>
      </c>
      <c r="V5" s="386" t="s">
        <v>1957</v>
      </c>
      <c r="W5" s="1928"/>
    </row>
    <row r="6" spans="1:23" s="317" customFormat="1" ht="10.35" hidden="1" customHeight="1">
      <c r="A6" s="316" t="s">
        <v>155</v>
      </c>
      <c r="B6" s="316"/>
      <c r="C6" s="441">
        <v>25546.400000000001</v>
      </c>
      <c r="D6" s="441">
        <v>34708.1</v>
      </c>
      <c r="E6" s="441">
        <f t="shared" ref="E6:E15" si="0">C6-D6</f>
        <v>-9161.6999999999971</v>
      </c>
      <c r="F6" s="441">
        <v>3439.7</v>
      </c>
      <c r="G6" s="441">
        <v>6283.2</v>
      </c>
      <c r="H6" s="441">
        <f t="shared" ref="H6:H15" si="1">F6-G6</f>
        <v>-2843.5</v>
      </c>
      <c r="I6" s="441">
        <v>437.8</v>
      </c>
      <c r="J6" s="441">
        <v>1090.8</v>
      </c>
      <c r="K6" s="441">
        <f t="shared" ref="K6:K14" si="2">I6-J6</f>
        <v>-653</v>
      </c>
      <c r="L6" s="441">
        <f t="shared" ref="L6:L12" si="3">N6-M6</f>
        <v>2560</v>
      </c>
      <c r="M6" s="441">
        <v>8205.6</v>
      </c>
      <c r="N6" s="441">
        <v>10765.6</v>
      </c>
      <c r="O6" s="441">
        <f t="shared" ref="O6:O15" si="4">E6++H6+K6+N6</f>
        <v>-1892.5999999999967</v>
      </c>
      <c r="P6" s="316" t="s">
        <v>155</v>
      </c>
      <c r="Q6" s="441">
        <v>1671.6</v>
      </c>
      <c r="R6" s="441">
        <v>952.3</v>
      </c>
      <c r="S6" s="441">
        <v>-27</v>
      </c>
      <c r="T6" s="441">
        <v>-3473.7</v>
      </c>
      <c r="U6" s="441">
        <v>972.9</v>
      </c>
      <c r="V6" s="441">
        <f>R6+S6+T6+U6</f>
        <v>-1575.4999999999995</v>
      </c>
      <c r="W6" s="88">
        <f>-(O6+Q6+V6)</f>
        <v>1796.4999999999964</v>
      </c>
    </row>
    <row r="7" spans="1:23" s="317" customFormat="1" ht="10.35" hidden="1" customHeight="1">
      <c r="A7" s="558" t="s">
        <v>156</v>
      </c>
      <c r="B7" s="558"/>
      <c r="C7" s="535">
        <v>28869.599999999999</v>
      </c>
      <c r="D7" s="535">
        <v>38091</v>
      </c>
      <c r="E7" s="535">
        <f t="shared" si="0"/>
        <v>-9221.4000000000015</v>
      </c>
      <c r="F7" s="535">
        <v>4275</v>
      </c>
      <c r="G7" s="535">
        <v>7494.2</v>
      </c>
      <c r="H7" s="535">
        <f t="shared" si="1"/>
        <v>-3219.2</v>
      </c>
      <c r="I7" s="535">
        <v>485.4</v>
      </c>
      <c r="J7" s="535">
        <v>2003.1</v>
      </c>
      <c r="K7" s="535">
        <f t="shared" si="2"/>
        <v>-1517.6999999999998</v>
      </c>
      <c r="L7" s="535">
        <f t="shared" si="3"/>
        <v>3653.1999999999989</v>
      </c>
      <c r="M7" s="535">
        <v>9813.6</v>
      </c>
      <c r="N7" s="535">
        <v>13466.8</v>
      </c>
      <c r="O7" s="535">
        <f t="shared" si="4"/>
        <v>-491.50000000000364</v>
      </c>
      <c r="P7" s="558" t="s">
        <v>156</v>
      </c>
      <c r="Q7" s="535">
        <v>1422.2</v>
      </c>
      <c r="R7" s="535">
        <v>1927.4</v>
      </c>
      <c r="S7" s="535">
        <v>0.2</v>
      </c>
      <c r="T7" s="535">
        <v>-2970.6</v>
      </c>
      <c r="U7" s="535">
        <v>-363.6</v>
      </c>
      <c r="V7" s="535">
        <f t="shared" ref="V7:V55" si="5">R7+S7+T7+U7</f>
        <v>-1406.6</v>
      </c>
      <c r="W7" s="528">
        <f t="shared" ref="W7:W27" si="6">-(O7+Q7+V7)</f>
        <v>475.9000000000035</v>
      </c>
    </row>
    <row r="8" spans="1:23" s="317" customFormat="1" ht="10.35" customHeight="1">
      <c r="A8" s="316" t="s">
        <v>1258</v>
      </c>
      <c r="B8" s="316"/>
      <c r="C8" s="441">
        <v>34599.599999999999</v>
      </c>
      <c r="D8" s="441">
        <v>45484.9</v>
      </c>
      <c r="E8" s="441">
        <f t="shared" si="0"/>
        <v>-10885.300000000003</v>
      </c>
      <c r="F8" s="441">
        <v>4095.5</v>
      </c>
      <c r="G8" s="441">
        <v>9027.4</v>
      </c>
      <c r="H8" s="441">
        <f t="shared" si="1"/>
        <v>-4931.8999999999996</v>
      </c>
      <c r="I8" s="441">
        <v>523.4</v>
      </c>
      <c r="J8" s="441">
        <v>2378</v>
      </c>
      <c r="K8" s="441">
        <f t="shared" si="2"/>
        <v>-1854.6</v>
      </c>
      <c r="L8" s="441">
        <f t="shared" si="3"/>
        <v>1448.3999999999996</v>
      </c>
      <c r="M8" s="441">
        <v>10266.1</v>
      </c>
      <c r="N8" s="441">
        <v>11714.5</v>
      </c>
      <c r="O8" s="441">
        <f t="shared" si="4"/>
        <v>-5957.3000000000029</v>
      </c>
      <c r="P8" s="316" t="s">
        <v>1258</v>
      </c>
      <c r="Q8" s="441">
        <v>2331</v>
      </c>
      <c r="R8" s="441">
        <v>2967.2</v>
      </c>
      <c r="S8" s="441">
        <v>-2</v>
      </c>
      <c r="T8" s="441">
        <v>598.1</v>
      </c>
      <c r="U8" s="441">
        <v>1588.6</v>
      </c>
      <c r="V8" s="441">
        <f t="shared" si="5"/>
        <v>5151.8999999999996</v>
      </c>
      <c r="W8" s="88">
        <f>-(O8+Q8+V8)</f>
        <v>-1525.5999999999967</v>
      </c>
    </row>
    <row r="9" spans="1:23" s="317" customFormat="1" ht="10.35" customHeight="1">
      <c r="A9" s="558" t="s">
        <v>1202</v>
      </c>
      <c r="B9" s="558"/>
      <c r="C9" s="535">
        <v>34037.699999999997</v>
      </c>
      <c r="D9" s="535">
        <v>44206.2</v>
      </c>
      <c r="E9" s="535">
        <f t="shared" si="0"/>
        <v>-10168.5</v>
      </c>
      <c r="F9" s="535">
        <v>4964.3999999999996</v>
      </c>
      <c r="G9" s="535">
        <v>7830.5</v>
      </c>
      <c r="H9" s="535">
        <f t="shared" si="1"/>
        <v>-2866.1000000000004</v>
      </c>
      <c r="I9" s="535">
        <v>287.39999999999998</v>
      </c>
      <c r="J9" s="535">
        <v>2598.1</v>
      </c>
      <c r="K9" s="535">
        <f t="shared" si="2"/>
        <v>-2310.6999999999998</v>
      </c>
      <c r="L9" s="535">
        <f t="shared" si="3"/>
        <v>1890.1999999999989</v>
      </c>
      <c r="M9" s="535">
        <v>14377.1</v>
      </c>
      <c r="N9" s="535">
        <v>16267.3</v>
      </c>
      <c r="O9" s="535">
        <f t="shared" si="4"/>
        <v>922</v>
      </c>
      <c r="P9" s="558" t="s">
        <v>1202</v>
      </c>
      <c r="Q9" s="535">
        <v>2353.5</v>
      </c>
      <c r="R9" s="535">
        <v>2243.4</v>
      </c>
      <c r="S9" s="535">
        <v>-31.8</v>
      </c>
      <c r="T9" s="535">
        <v>-687.8</v>
      </c>
      <c r="U9" s="535">
        <v>-1552.5</v>
      </c>
      <c r="V9" s="535">
        <f t="shared" si="5"/>
        <v>-28.700000000000045</v>
      </c>
      <c r="W9" s="528">
        <f t="shared" si="6"/>
        <v>-3246.8</v>
      </c>
    </row>
    <row r="10" spans="1:23" s="317" customFormat="1" ht="10.35" customHeight="1">
      <c r="A10" s="316" t="s">
        <v>1203</v>
      </c>
      <c r="B10" s="316"/>
      <c r="C10" s="441">
        <v>37587.199999999997</v>
      </c>
      <c r="D10" s="441">
        <v>51172.7</v>
      </c>
      <c r="E10" s="441">
        <f t="shared" si="0"/>
        <v>-13585.5</v>
      </c>
      <c r="F10" s="441">
        <v>5136.7</v>
      </c>
      <c r="G10" s="441">
        <v>9149.4</v>
      </c>
      <c r="H10" s="441">
        <f t="shared" si="1"/>
        <v>-4012.7</v>
      </c>
      <c r="I10" s="441">
        <v>367.7</v>
      </c>
      <c r="J10" s="441">
        <v>2458.3000000000002</v>
      </c>
      <c r="K10" s="441">
        <f t="shared" si="2"/>
        <v>-2090.6000000000004</v>
      </c>
      <c r="L10" s="441">
        <f t="shared" si="3"/>
        <v>2158.2999999999993</v>
      </c>
      <c r="M10" s="441">
        <v>17728.8</v>
      </c>
      <c r="N10" s="441">
        <v>19887.099999999999</v>
      </c>
      <c r="O10" s="441">
        <f t="shared" si="4"/>
        <v>198.29999999999563</v>
      </c>
      <c r="P10" s="316" t="s">
        <v>1203</v>
      </c>
      <c r="Q10" s="441">
        <v>2480.5</v>
      </c>
      <c r="R10" s="441">
        <v>2177.6</v>
      </c>
      <c r="S10" s="441">
        <v>5.6</v>
      </c>
      <c r="T10" s="441">
        <v>318.10000000000002</v>
      </c>
      <c r="U10" s="441">
        <v>-5117.8</v>
      </c>
      <c r="V10" s="441">
        <f t="shared" si="5"/>
        <v>-2616.5000000000005</v>
      </c>
      <c r="W10" s="88">
        <f t="shared" si="6"/>
        <v>-62.29999999999518</v>
      </c>
    </row>
    <row r="11" spans="1:23" s="317" customFormat="1" ht="10.35" customHeight="1">
      <c r="A11" s="558" t="s">
        <v>1204</v>
      </c>
      <c r="B11" s="558"/>
      <c r="C11" s="535">
        <v>45534.7</v>
      </c>
      <c r="D11" s="535">
        <v>58847.7</v>
      </c>
      <c r="E11" s="535">
        <f t="shared" si="0"/>
        <v>-13313</v>
      </c>
      <c r="F11" s="535">
        <v>5959.1</v>
      </c>
      <c r="G11" s="535">
        <v>10455.4</v>
      </c>
      <c r="H11" s="535">
        <f t="shared" si="1"/>
        <v>-4496.2999999999993</v>
      </c>
      <c r="I11" s="535">
        <v>406.5</v>
      </c>
      <c r="J11" s="535">
        <v>2723.5</v>
      </c>
      <c r="K11" s="535">
        <f t="shared" si="2"/>
        <v>-2317</v>
      </c>
      <c r="L11" s="535">
        <f t="shared" si="3"/>
        <v>2143.5999999999985</v>
      </c>
      <c r="M11" s="535">
        <v>19847</v>
      </c>
      <c r="N11" s="535">
        <v>21990.6</v>
      </c>
      <c r="O11" s="535">
        <f t="shared" si="4"/>
        <v>1864.2999999999993</v>
      </c>
      <c r="P11" s="558" t="s">
        <v>1204</v>
      </c>
      <c r="Q11" s="535">
        <v>1374.3</v>
      </c>
      <c r="R11" s="535">
        <v>2269</v>
      </c>
      <c r="S11" s="535">
        <v>31.6</v>
      </c>
      <c r="T11" s="535">
        <v>-3430.6</v>
      </c>
      <c r="U11" s="535">
        <v>-1339.9</v>
      </c>
      <c r="V11" s="535">
        <f t="shared" si="5"/>
        <v>-2469.9</v>
      </c>
      <c r="W11" s="528">
        <f t="shared" si="6"/>
        <v>-768.69999999999936</v>
      </c>
    </row>
    <row r="12" spans="1:23" s="317" customFormat="1" ht="10.35" customHeight="1">
      <c r="A12" s="316" t="s">
        <v>1205</v>
      </c>
      <c r="B12" s="316"/>
      <c r="C12" s="441">
        <v>53961.4</v>
      </c>
      <c r="D12" s="441">
        <v>72945.2</v>
      </c>
      <c r="E12" s="441">
        <f t="shared" si="0"/>
        <v>-18983.799999999996</v>
      </c>
      <c r="F12" s="441">
        <v>7506.7</v>
      </c>
      <c r="G12" s="441">
        <v>12487.1</v>
      </c>
      <c r="H12" s="441">
        <f t="shared" si="1"/>
        <v>-4980.4000000000005</v>
      </c>
      <c r="I12" s="441">
        <v>729.4</v>
      </c>
      <c r="J12" s="441">
        <v>5671.3</v>
      </c>
      <c r="K12" s="441">
        <f t="shared" si="2"/>
        <v>-4941.9000000000005</v>
      </c>
      <c r="L12" s="441">
        <f t="shared" si="3"/>
        <v>2706.7999999999993</v>
      </c>
      <c r="M12" s="441">
        <v>23843.9</v>
      </c>
      <c r="N12" s="441">
        <v>26550.7</v>
      </c>
      <c r="O12" s="441">
        <f t="shared" si="4"/>
        <v>-2355.3999999999978</v>
      </c>
      <c r="P12" s="316" t="s">
        <v>1205</v>
      </c>
      <c r="Q12" s="441">
        <v>1001.1</v>
      </c>
      <c r="R12" s="441">
        <v>4758</v>
      </c>
      <c r="S12" s="441">
        <v>0.3</v>
      </c>
      <c r="T12" s="441">
        <v>1488.6</v>
      </c>
      <c r="U12" s="441">
        <v>-1900.8</v>
      </c>
      <c r="V12" s="441">
        <f t="shared" si="5"/>
        <v>4346.0999999999995</v>
      </c>
      <c r="W12" s="88">
        <f t="shared" si="6"/>
        <v>-2991.8000000000015</v>
      </c>
    </row>
    <row r="13" spans="1:23" s="317" customFormat="1" ht="10.35" customHeight="1">
      <c r="A13" s="558" t="s">
        <v>1210</v>
      </c>
      <c r="B13" s="558"/>
      <c r="C13" s="535">
        <v>69900.800000000003</v>
      </c>
      <c r="D13" s="535">
        <v>89321.2</v>
      </c>
      <c r="E13" s="535">
        <v>-19420.400000000001</v>
      </c>
      <c r="F13" s="535">
        <v>8978</v>
      </c>
      <c r="G13" s="535">
        <v>15627.9</v>
      </c>
      <c r="H13" s="535">
        <v>-6649.9</v>
      </c>
      <c r="I13" s="535">
        <v>950.4</v>
      </c>
      <c r="J13" s="535">
        <v>5953.8</v>
      </c>
      <c r="K13" s="535">
        <f t="shared" si="2"/>
        <v>-5003.4000000000005</v>
      </c>
      <c r="L13" s="535">
        <f>N13-M13</f>
        <v>3668.2000000000044</v>
      </c>
      <c r="M13" s="535">
        <v>32195.599999999999</v>
      </c>
      <c r="N13" s="535">
        <v>35863.800000000003</v>
      </c>
      <c r="O13" s="535">
        <f t="shared" si="4"/>
        <v>4790.0999999999985</v>
      </c>
      <c r="P13" s="558" t="s">
        <v>1210</v>
      </c>
      <c r="Q13" s="535">
        <v>1622.7</v>
      </c>
      <c r="R13" s="535">
        <v>4527.8999999999996</v>
      </c>
      <c r="S13" s="535">
        <v>240.7</v>
      </c>
      <c r="T13" s="535">
        <v>-3708.3</v>
      </c>
      <c r="U13" s="535">
        <v>-3579.6</v>
      </c>
      <c r="V13" s="535">
        <f t="shared" si="5"/>
        <v>-2519.3000000000006</v>
      </c>
      <c r="W13" s="528">
        <f t="shared" si="6"/>
        <v>-3893.4999999999977</v>
      </c>
    </row>
    <row r="14" spans="1:23" s="317" customFormat="1" ht="10.35" customHeight="1">
      <c r="A14" s="316" t="s">
        <v>1219</v>
      </c>
      <c r="B14" s="316"/>
      <c r="C14" s="441">
        <v>83205.100000000006</v>
      </c>
      <c r="D14" s="441">
        <v>107234.3</v>
      </c>
      <c r="E14" s="441">
        <f t="shared" si="0"/>
        <v>-24029.199999999997</v>
      </c>
      <c r="F14" s="441">
        <v>10235.200000000001</v>
      </c>
      <c r="G14" s="441">
        <v>18964.900000000001</v>
      </c>
      <c r="H14" s="441">
        <f t="shared" si="1"/>
        <v>-8729.7000000000007</v>
      </c>
      <c r="I14" s="441">
        <v>1687.6</v>
      </c>
      <c r="J14" s="441">
        <v>7788.9</v>
      </c>
      <c r="K14" s="441">
        <f t="shared" si="2"/>
        <v>-6101.2999999999993</v>
      </c>
      <c r="L14" s="441">
        <f>N14-M14</f>
        <v>4004.1999999999971</v>
      </c>
      <c r="M14" s="441">
        <v>41269.800000000003</v>
      </c>
      <c r="N14" s="441">
        <v>45274</v>
      </c>
      <c r="O14" s="441">
        <f t="shared" si="4"/>
        <v>6413.8000000000029</v>
      </c>
      <c r="P14" s="316" t="s">
        <v>1219</v>
      </c>
      <c r="Q14" s="441">
        <v>3381.4</v>
      </c>
      <c r="R14" s="441">
        <v>5246.6</v>
      </c>
      <c r="S14" s="441">
        <v>727.7</v>
      </c>
      <c r="T14" s="441">
        <v>-369.3</v>
      </c>
      <c r="U14" s="441">
        <v>-10893.1</v>
      </c>
      <c r="V14" s="441">
        <f t="shared" si="5"/>
        <v>-5288.1</v>
      </c>
      <c r="W14" s="88">
        <f t="shared" si="6"/>
        <v>-4507.1000000000022</v>
      </c>
    </row>
    <row r="15" spans="1:23" s="327" customFormat="1" ht="10.35" customHeight="1">
      <c r="A15" s="558" t="s">
        <v>916</v>
      </c>
      <c r="B15" s="558"/>
      <c r="C15" s="528">
        <v>97110.1</v>
      </c>
      <c r="D15" s="534">
        <v>133765.29999999999</v>
      </c>
      <c r="E15" s="528">
        <f t="shared" si="0"/>
        <v>-36655.199999999983</v>
      </c>
      <c r="F15" s="528">
        <v>12910.3</v>
      </c>
      <c r="G15" s="534">
        <v>23166.7</v>
      </c>
      <c r="H15" s="534">
        <f t="shared" si="1"/>
        <v>-10256.400000000001</v>
      </c>
      <c r="I15" s="534">
        <v>1515.1</v>
      </c>
      <c r="J15" s="534">
        <v>7422.5</v>
      </c>
      <c r="K15" s="534">
        <f>I15-J15</f>
        <v>-5907.4</v>
      </c>
      <c r="L15" s="528">
        <f>N15-M15</f>
        <v>4017.9000000000015</v>
      </c>
      <c r="M15" s="528">
        <v>54296.9</v>
      </c>
      <c r="N15" s="534">
        <v>58314.8</v>
      </c>
      <c r="O15" s="535">
        <f t="shared" si="4"/>
        <v>5495.8000000000175</v>
      </c>
      <c r="P15" s="558" t="s">
        <v>916</v>
      </c>
      <c r="Q15" s="534">
        <v>3952.5</v>
      </c>
      <c r="R15" s="528">
        <v>4459</v>
      </c>
      <c r="S15" s="534">
        <v>325.10000000000002</v>
      </c>
      <c r="T15" s="534">
        <v>-6802.5</v>
      </c>
      <c r="U15" s="534">
        <v>-7137.1</v>
      </c>
      <c r="V15" s="535">
        <f t="shared" si="5"/>
        <v>-9155.5</v>
      </c>
      <c r="W15" s="528">
        <f t="shared" si="6"/>
        <v>-292.80000000001746</v>
      </c>
    </row>
    <row r="16" spans="1:23" s="327" customFormat="1" ht="10.35" customHeight="1">
      <c r="A16" s="316" t="s">
        <v>230</v>
      </c>
      <c r="B16" s="316"/>
      <c r="C16" s="88">
        <v>107195</v>
      </c>
      <c r="D16" s="42">
        <v>139579.5</v>
      </c>
      <c r="E16" s="88">
        <v>-32384.500000000004</v>
      </c>
      <c r="F16" s="88">
        <v>12245.099999999999</v>
      </c>
      <c r="G16" s="42">
        <v>23663.4</v>
      </c>
      <c r="H16" s="42">
        <v>-11418.300000000001</v>
      </c>
      <c r="I16" s="42">
        <v>653.1</v>
      </c>
      <c r="J16" s="42">
        <v>10312.6</v>
      </c>
      <c r="K16" s="42">
        <v>-9659.5</v>
      </c>
      <c r="L16" s="88">
        <v>251.79999999999998</v>
      </c>
      <c r="M16" s="88">
        <v>67715.799999999988</v>
      </c>
      <c r="N16" s="42">
        <v>67967.600000000006</v>
      </c>
      <c r="O16" s="441">
        <v>14505.299999999997</v>
      </c>
      <c r="P16" s="316" t="s">
        <v>230</v>
      </c>
      <c r="Q16" s="42">
        <v>3345.4000000000005</v>
      </c>
      <c r="R16" s="88">
        <v>6980.3</v>
      </c>
      <c r="S16" s="42">
        <v>-702.1</v>
      </c>
      <c r="T16" s="42">
        <v>-11420.2</v>
      </c>
      <c r="U16" s="42">
        <v>-12959.999999999998</v>
      </c>
      <c r="V16" s="441">
        <f t="shared" si="5"/>
        <v>-18102</v>
      </c>
      <c r="W16" s="88">
        <f t="shared" si="6"/>
        <v>251.30000000000291</v>
      </c>
    </row>
    <row r="17" spans="1:23" s="352" customFormat="1" ht="10.35" customHeight="1">
      <c r="A17" s="558" t="s">
        <v>220</v>
      </c>
      <c r="B17" s="558"/>
      <c r="C17" s="534">
        <v>112345.1</v>
      </c>
      <c r="D17" s="528">
        <v>147983</v>
      </c>
      <c r="E17" s="528">
        <v>-35637.9</v>
      </c>
      <c r="F17" s="534">
        <v>15453.4</v>
      </c>
      <c r="G17" s="534">
        <v>25710.799999999999</v>
      </c>
      <c r="H17" s="534">
        <v>-10257.400000000001</v>
      </c>
      <c r="I17" s="534">
        <v>551.70000000000005</v>
      </c>
      <c r="J17" s="528">
        <v>10566.400000000001</v>
      </c>
      <c r="K17" s="534">
        <v>-10014.700000000001</v>
      </c>
      <c r="L17" s="534">
        <v>864.8</v>
      </c>
      <c r="M17" s="534">
        <v>78001.299999999988</v>
      </c>
      <c r="N17" s="534">
        <v>78866.100000000006</v>
      </c>
      <c r="O17" s="535">
        <v>22956.1</v>
      </c>
      <c r="P17" s="558" t="s">
        <v>220</v>
      </c>
      <c r="Q17" s="534">
        <v>3373.5999999999995</v>
      </c>
      <c r="R17" s="534">
        <v>6316.4000000000005</v>
      </c>
      <c r="S17" s="534">
        <v>-2029.5</v>
      </c>
      <c r="T17" s="534">
        <v>-820.69999999999936</v>
      </c>
      <c r="U17" s="534">
        <v>-24814.3</v>
      </c>
      <c r="V17" s="535">
        <f t="shared" si="5"/>
        <v>-21348.1</v>
      </c>
      <c r="W17" s="528">
        <f t="shared" si="6"/>
        <v>-4981.5999999999985</v>
      </c>
    </row>
    <row r="18" spans="1:23" s="353" customFormat="1" ht="10.35" customHeight="1">
      <c r="A18" s="316" t="s">
        <v>489</v>
      </c>
      <c r="B18" s="316"/>
      <c r="C18" s="88">
        <f t="shared" ref="C18:O18" si="7">SUM(C19:C22)</f>
        <v>164159.20000000001</v>
      </c>
      <c r="D18" s="88">
        <f t="shared" si="7"/>
        <v>216341.09999999998</v>
      </c>
      <c r="E18" s="88">
        <f t="shared" si="7"/>
        <v>-52181.899999999994</v>
      </c>
      <c r="F18" s="88">
        <f t="shared" si="7"/>
        <v>18292.900000000001</v>
      </c>
      <c r="G18" s="88">
        <f t="shared" si="7"/>
        <v>35500.6</v>
      </c>
      <c r="H18" s="88">
        <f t="shared" si="7"/>
        <v>-17207.7</v>
      </c>
      <c r="I18" s="88">
        <f t="shared" si="7"/>
        <v>871.7</v>
      </c>
      <c r="J18" s="88">
        <f t="shared" si="7"/>
        <v>11267.1</v>
      </c>
      <c r="K18" s="88">
        <f t="shared" si="7"/>
        <v>-10395.4</v>
      </c>
      <c r="L18" s="88">
        <f t="shared" si="7"/>
        <v>1047.0999999999999</v>
      </c>
      <c r="M18" s="88">
        <f t="shared" si="7"/>
        <v>84013.2</v>
      </c>
      <c r="N18" s="88">
        <f t="shared" si="7"/>
        <v>85060.299999999988</v>
      </c>
      <c r="O18" s="88">
        <f t="shared" si="7"/>
        <v>5275.3000000000011</v>
      </c>
      <c r="P18" s="316" t="s">
        <v>489</v>
      </c>
      <c r="Q18" s="88">
        <f>SUM(Q19:Q22)</f>
        <v>4138.1000000000004</v>
      </c>
      <c r="R18" s="88">
        <f>SUM(R19:R22)</f>
        <v>5585.6</v>
      </c>
      <c r="S18" s="88">
        <f>SUM(S19:S22)</f>
        <v>-6109.2000000000007</v>
      </c>
      <c r="T18" s="88">
        <f>SUM(T19:T22)</f>
        <v>-9589.7999999999993</v>
      </c>
      <c r="U18" s="88">
        <f>SUM(U19:U22)</f>
        <v>5351</v>
      </c>
      <c r="V18" s="441">
        <f t="shared" si="5"/>
        <v>-4762.3999999999996</v>
      </c>
      <c r="W18" s="88">
        <f t="shared" si="6"/>
        <v>-4651.0000000000018</v>
      </c>
    </row>
    <row r="19" spans="1:23" s="315" customFormat="1" ht="10.35" hidden="1" customHeight="1">
      <c r="A19" s="558" t="s">
        <v>1952</v>
      </c>
      <c r="B19" s="558"/>
      <c r="C19" s="528">
        <v>35076.400000000001</v>
      </c>
      <c r="D19" s="528">
        <v>44034.6</v>
      </c>
      <c r="E19" s="528">
        <f t="shared" ref="E19:E50" si="8">C19-D19</f>
        <v>-8958.1999999999971</v>
      </c>
      <c r="F19" s="534">
        <v>3669.6</v>
      </c>
      <c r="G19" s="534">
        <v>7600.3</v>
      </c>
      <c r="H19" s="528">
        <f t="shared" ref="H19:H50" si="9">F19-G19</f>
        <v>-3930.7000000000003</v>
      </c>
      <c r="I19" s="528">
        <v>188.4</v>
      </c>
      <c r="J19" s="528">
        <v>2462.8000000000002</v>
      </c>
      <c r="K19" s="528">
        <f>I19-J19</f>
        <v>-2274.4</v>
      </c>
      <c r="L19" s="528">
        <v>285.10000000000002</v>
      </c>
      <c r="M19" s="528">
        <v>19106.599999999999</v>
      </c>
      <c r="N19" s="528">
        <f t="shared" ref="N19:N27" si="10">L19+M19</f>
        <v>19391.699999999997</v>
      </c>
      <c r="O19" s="535">
        <f t="shared" ref="O19:O55" si="11">E19++H19+K19+N19</f>
        <v>4228.3999999999996</v>
      </c>
      <c r="P19" s="558" t="s">
        <v>1952</v>
      </c>
      <c r="Q19" s="528">
        <v>733.6</v>
      </c>
      <c r="R19" s="528">
        <v>1208.4000000000001</v>
      </c>
      <c r="S19" s="528">
        <v>-966</v>
      </c>
      <c r="T19" s="528">
        <v>-7030</v>
      </c>
      <c r="U19" s="534">
        <v>2396.3000000000002</v>
      </c>
      <c r="V19" s="535">
        <f t="shared" si="5"/>
        <v>-4391.3</v>
      </c>
      <c r="W19" s="528">
        <f t="shared" si="6"/>
        <v>-570.69999999999982</v>
      </c>
    </row>
    <row r="20" spans="1:23" s="315" customFormat="1" ht="10.35" hidden="1" customHeight="1">
      <c r="A20" s="316" t="s">
        <v>1949</v>
      </c>
      <c r="B20" s="316"/>
      <c r="C20" s="88">
        <v>37000.5</v>
      </c>
      <c r="D20" s="88">
        <v>52238.2</v>
      </c>
      <c r="E20" s="88">
        <f t="shared" si="8"/>
        <v>-15237.699999999997</v>
      </c>
      <c r="F20" s="88">
        <v>5362</v>
      </c>
      <c r="G20" s="42">
        <v>9746.6</v>
      </c>
      <c r="H20" s="88">
        <f t="shared" si="9"/>
        <v>-4384.6000000000004</v>
      </c>
      <c r="I20" s="88">
        <v>193.7</v>
      </c>
      <c r="J20" s="88">
        <v>2872.6</v>
      </c>
      <c r="K20" s="88">
        <f>I20-J20</f>
        <v>-2678.9</v>
      </c>
      <c r="L20" s="88">
        <v>253.7</v>
      </c>
      <c r="M20" s="88">
        <v>20942.5</v>
      </c>
      <c r="N20" s="88">
        <f t="shared" si="10"/>
        <v>21196.2</v>
      </c>
      <c r="O20" s="441">
        <f t="shared" si="11"/>
        <v>-1104.9999999999964</v>
      </c>
      <c r="P20" s="316" t="s">
        <v>1949</v>
      </c>
      <c r="Q20" s="88">
        <v>1774.7</v>
      </c>
      <c r="R20" s="88">
        <v>1218.8</v>
      </c>
      <c r="S20" s="88">
        <v>-925.1</v>
      </c>
      <c r="T20" s="88">
        <v>2560.9</v>
      </c>
      <c r="U20" s="42">
        <v>-3473.5</v>
      </c>
      <c r="V20" s="441">
        <f t="shared" si="5"/>
        <v>-618.90000000000009</v>
      </c>
      <c r="W20" s="88">
        <f t="shared" si="6"/>
        <v>-50.800000000003593</v>
      </c>
    </row>
    <row r="21" spans="1:23" s="315" customFormat="1" ht="10.35" hidden="1" customHeight="1">
      <c r="A21" s="558" t="s">
        <v>1951</v>
      </c>
      <c r="B21" s="558"/>
      <c r="C21" s="528">
        <v>42647</v>
      </c>
      <c r="D21" s="528">
        <v>57795.4</v>
      </c>
      <c r="E21" s="528">
        <f t="shared" si="8"/>
        <v>-15148.400000000001</v>
      </c>
      <c r="F21" s="534">
        <v>3988.2</v>
      </c>
      <c r="G21" s="534">
        <v>8633.7999999999993</v>
      </c>
      <c r="H21" s="528">
        <f t="shared" si="9"/>
        <v>-4645.5999999999995</v>
      </c>
      <c r="I21" s="528">
        <v>240.1</v>
      </c>
      <c r="J21" s="528">
        <v>2704.8</v>
      </c>
      <c r="K21" s="528">
        <f>I21-J21</f>
        <v>-2464.7000000000003</v>
      </c>
      <c r="L21" s="528">
        <v>198.3</v>
      </c>
      <c r="M21" s="528">
        <v>21676.5</v>
      </c>
      <c r="N21" s="528">
        <f t="shared" si="10"/>
        <v>21874.799999999999</v>
      </c>
      <c r="O21" s="535">
        <f t="shared" si="11"/>
        <v>-383.90000000000146</v>
      </c>
      <c r="P21" s="558" t="s">
        <v>1951</v>
      </c>
      <c r="Q21" s="528">
        <v>651.70000000000005</v>
      </c>
      <c r="R21" s="528">
        <v>1577.3</v>
      </c>
      <c r="S21" s="528">
        <v>-2622</v>
      </c>
      <c r="T21" s="528">
        <v>-4257.8999999999996</v>
      </c>
      <c r="U21" s="528">
        <v>7600</v>
      </c>
      <c r="V21" s="535">
        <f t="shared" si="5"/>
        <v>2297.4000000000005</v>
      </c>
      <c r="W21" s="528">
        <f t="shared" si="6"/>
        <v>-2565.1999999999989</v>
      </c>
    </row>
    <row r="22" spans="1:23" s="315" customFormat="1" ht="10.35" hidden="1" customHeight="1">
      <c r="A22" s="316" t="s">
        <v>1950</v>
      </c>
      <c r="B22" s="316"/>
      <c r="C22" s="88">
        <v>49435.3</v>
      </c>
      <c r="D22" s="88">
        <v>62272.9</v>
      </c>
      <c r="E22" s="88">
        <f t="shared" si="8"/>
        <v>-12837.599999999999</v>
      </c>
      <c r="F22" s="42">
        <v>5273.1</v>
      </c>
      <c r="G22" s="42">
        <v>9519.9</v>
      </c>
      <c r="H22" s="88">
        <f t="shared" si="9"/>
        <v>-4246.7999999999993</v>
      </c>
      <c r="I22" s="88">
        <v>249.5</v>
      </c>
      <c r="J22" s="88">
        <v>3226.9</v>
      </c>
      <c r="K22" s="88">
        <f>I22-J22</f>
        <v>-2977.4</v>
      </c>
      <c r="L22" s="88">
        <v>310</v>
      </c>
      <c r="M22" s="88">
        <v>22287.599999999999</v>
      </c>
      <c r="N22" s="88">
        <f t="shared" si="10"/>
        <v>22597.599999999999</v>
      </c>
      <c r="O22" s="441">
        <f t="shared" si="11"/>
        <v>2535.7999999999993</v>
      </c>
      <c r="P22" s="316" t="s">
        <v>1950</v>
      </c>
      <c r="Q22" s="88">
        <v>978.1</v>
      </c>
      <c r="R22" s="88">
        <v>1581.1</v>
      </c>
      <c r="S22" s="88">
        <v>-1596.1</v>
      </c>
      <c r="T22" s="88">
        <v>-862.8</v>
      </c>
      <c r="U22" s="42">
        <v>-1171.8</v>
      </c>
      <c r="V22" s="441">
        <f t="shared" si="5"/>
        <v>-2049.6</v>
      </c>
      <c r="W22" s="88">
        <f t="shared" si="6"/>
        <v>-1464.2999999999993</v>
      </c>
    </row>
    <row r="23" spans="1:23" s="315" customFormat="1" ht="10.35" customHeight="1">
      <c r="A23" s="558" t="s">
        <v>1580</v>
      </c>
      <c r="B23" s="558"/>
      <c r="C23" s="528">
        <f t="shared" ref="C23:O23" si="12">SUM(C24:C27)</f>
        <v>193375.5</v>
      </c>
      <c r="D23" s="528">
        <f t="shared" si="12"/>
        <v>253042.2</v>
      </c>
      <c r="E23" s="528">
        <f t="shared" si="12"/>
        <v>-59666.7</v>
      </c>
      <c r="F23" s="528">
        <f t="shared" si="12"/>
        <v>19370.400000000001</v>
      </c>
      <c r="G23" s="528">
        <f t="shared" si="12"/>
        <v>41880.299999999996</v>
      </c>
      <c r="H23" s="528">
        <f t="shared" si="12"/>
        <v>-22509.899999999998</v>
      </c>
      <c r="I23" s="528">
        <f t="shared" si="12"/>
        <v>1523.3000000000002</v>
      </c>
      <c r="J23" s="528">
        <f t="shared" si="12"/>
        <v>13242.2</v>
      </c>
      <c r="K23" s="528">
        <f t="shared" si="12"/>
        <v>-11718.9</v>
      </c>
      <c r="L23" s="528">
        <f t="shared" si="12"/>
        <v>829.19999999999993</v>
      </c>
      <c r="M23" s="528">
        <f t="shared" si="12"/>
        <v>101982.6</v>
      </c>
      <c r="N23" s="528">
        <f t="shared" si="12"/>
        <v>102811.8</v>
      </c>
      <c r="O23" s="528">
        <f t="shared" si="12"/>
        <v>8916.2999999999993</v>
      </c>
      <c r="P23" s="558" t="s">
        <v>1580</v>
      </c>
      <c r="Q23" s="528">
        <f>SUM(Q24:Q27)</f>
        <v>3678.5</v>
      </c>
      <c r="R23" s="528">
        <f>SUM(R24:R27)</f>
        <v>9088.2000000000007</v>
      </c>
      <c r="S23" s="528">
        <f>SUM(S24:S27)</f>
        <v>4142.6000000000004</v>
      </c>
      <c r="T23" s="528">
        <f>SUM(T24:T27)</f>
        <v>-17391</v>
      </c>
      <c r="U23" s="528">
        <f>SUM(U24:U27)</f>
        <v>-2324.4999999999991</v>
      </c>
      <c r="V23" s="535">
        <f t="shared" si="5"/>
        <v>-6484.699999999998</v>
      </c>
      <c r="W23" s="528">
        <f t="shared" si="6"/>
        <v>-6110.1000000000013</v>
      </c>
    </row>
    <row r="24" spans="1:23" s="315" customFormat="1" ht="10.35" hidden="1" customHeight="1">
      <c r="A24" s="316" t="s">
        <v>1952</v>
      </c>
      <c r="B24" s="316"/>
      <c r="C24" s="88">
        <v>46291.8</v>
      </c>
      <c r="D24" s="88">
        <v>58989.8</v>
      </c>
      <c r="E24" s="88">
        <f t="shared" si="8"/>
        <v>-12698</v>
      </c>
      <c r="F24" s="88">
        <v>4751.6000000000004</v>
      </c>
      <c r="G24" s="88">
        <v>9796.7999999999993</v>
      </c>
      <c r="H24" s="88">
        <f t="shared" si="9"/>
        <v>-5045.1999999999989</v>
      </c>
      <c r="I24" s="88">
        <v>260.39999999999998</v>
      </c>
      <c r="J24" s="88">
        <v>3372.8</v>
      </c>
      <c r="K24" s="88">
        <f>I24-J24</f>
        <v>-3112.4</v>
      </c>
      <c r="L24" s="88">
        <v>181.2</v>
      </c>
      <c r="M24" s="88">
        <v>21970.799999999999</v>
      </c>
      <c r="N24" s="88">
        <f t="shared" si="10"/>
        <v>22152</v>
      </c>
      <c r="O24" s="441">
        <f t="shared" si="11"/>
        <v>1296.4000000000015</v>
      </c>
      <c r="P24" s="316" t="s">
        <v>1952</v>
      </c>
      <c r="Q24" s="88">
        <v>896.2</v>
      </c>
      <c r="R24" s="88">
        <v>2656.1</v>
      </c>
      <c r="S24" s="88">
        <v>1771.3</v>
      </c>
      <c r="T24" s="88">
        <v>-9675.7999999999993</v>
      </c>
      <c r="U24" s="42">
        <v>4560.1000000000004</v>
      </c>
      <c r="V24" s="441">
        <f>R24+S24+T24+U24</f>
        <v>-688.29999999999927</v>
      </c>
      <c r="W24" s="88">
        <f t="shared" si="6"/>
        <v>-1504.300000000002</v>
      </c>
    </row>
    <row r="25" spans="1:23" s="315" customFormat="1" ht="10.35" hidden="1" customHeight="1">
      <c r="A25" s="558" t="s">
        <v>1949</v>
      </c>
      <c r="B25" s="558"/>
      <c r="C25" s="528">
        <v>43642.6</v>
      </c>
      <c r="D25" s="528">
        <v>62697.9</v>
      </c>
      <c r="E25" s="528">
        <f t="shared" si="8"/>
        <v>-19055.300000000003</v>
      </c>
      <c r="F25" s="528">
        <v>4119.5</v>
      </c>
      <c r="G25" s="528">
        <v>11375.9</v>
      </c>
      <c r="H25" s="528">
        <f t="shared" si="9"/>
        <v>-7256.4</v>
      </c>
      <c r="I25" s="528">
        <v>427.3</v>
      </c>
      <c r="J25" s="528">
        <v>3143.7</v>
      </c>
      <c r="K25" s="528">
        <f>I25-J25</f>
        <v>-2716.3999999999996</v>
      </c>
      <c r="L25" s="528">
        <v>221.7</v>
      </c>
      <c r="M25" s="528">
        <v>23952.799999999999</v>
      </c>
      <c r="N25" s="528">
        <f t="shared" si="10"/>
        <v>24174.5</v>
      </c>
      <c r="O25" s="535">
        <f t="shared" si="11"/>
        <v>-4853.6000000000058</v>
      </c>
      <c r="P25" s="558" t="s">
        <v>1949</v>
      </c>
      <c r="Q25" s="528">
        <v>1295.5</v>
      </c>
      <c r="R25" s="528">
        <v>2643.5</v>
      </c>
      <c r="S25" s="528">
        <v>3619</v>
      </c>
      <c r="T25" s="528">
        <v>-2824.1</v>
      </c>
      <c r="U25" s="528">
        <v>3294.1</v>
      </c>
      <c r="V25" s="535">
        <f>R25+S25+T25+U25</f>
        <v>6732.5</v>
      </c>
      <c r="W25" s="528">
        <f t="shared" si="6"/>
        <v>-3174.3999999999942</v>
      </c>
    </row>
    <row r="26" spans="1:23" s="315" customFormat="1" ht="10.35" hidden="1" customHeight="1">
      <c r="A26" s="316" t="s">
        <v>1951</v>
      </c>
      <c r="B26" s="316"/>
      <c r="C26" s="88">
        <v>50847.3</v>
      </c>
      <c r="D26" s="88">
        <v>68206.7</v>
      </c>
      <c r="E26" s="88">
        <f t="shared" si="8"/>
        <v>-17359.399999999994</v>
      </c>
      <c r="F26" s="88">
        <v>5434.9</v>
      </c>
      <c r="G26" s="88">
        <v>10641.5</v>
      </c>
      <c r="H26" s="88">
        <f t="shared" si="9"/>
        <v>-5206.6000000000004</v>
      </c>
      <c r="I26" s="88">
        <v>396</v>
      </c>
      <c r="J26" s="88">
        <v>3239.7</v>
      </c>
      <c r="K26" s="88">
        <f>I26-J26</f>
        <v>-2843.7</v>
      </c>
      <c r="L26" s="88">
        <v>176.7</v>
      </c>
      <c r="M26" s="88">
        <v>29111.4</v>
      </c>
      <c r="N26" s="88">
        <f t="shared" si="10"/>
        <v>29288.100000000002</v>
      </c>
      <c r="O26" s="441">
        <f t="shared" si="11"/>
        <v>3878.4000000000087</v>
      </c>
      <c r="P26" s="316" t="s">
        <v>1951</v>
      </c>
      <c r="Q26" s="88">
        <v>669.6</v>
      </c>
      <c r="R26" s="88">
        <v>1891.5</v>
      </c>
      <c r="S26" s="88">
        <v>-315.39999999999998</v>
      </c>
      <c r="T26" s="88">
        <v>-7646.9</v>
      </c>
      <c r="U26" s="88">
        <v>-345.3</v>
      </c>
      <c r="V26" s="441">
        <f>R26+S26+T26+U26</f>
        <v>-6416.0999999999995</v>
      </c>
      <c r="W26" s="88">
        <f t="shared" si="6"/>
        <v>1868.0999999999904</v>
      </c>
    </row>
    <row r="27" spans="1:23" s="315" customFormat="1" ht="10.35" hidden="1" customHeight="1">
      <c r="A27" s="558" t="s">
        <v>1950</v>
      </c>
      <c r="B27" s="558"/>
      <c r="C27" s="528">
        <v>52593.8</v>
      </c>
      <c r="D27" s="528">
        <v>63147.8</v>
      </c>
      <c r="E27" s="528">
        <f t="shared" si="8"/>
        <v>-10554</v>
      </c>
      <c r="F27" s="528">
        <v>5064.3999999999996</v>
      </c>
      <c r="G27" s="528">
        <v>10066.1</v>
      </c>
      <c r="H27" s="528">
        <f t="shared" si="9"/>
        <v>-5001.7000000000007</v>
      </c>
      <c r="I27" s="528">
        <v>439.6</v>
      </c>
      <c r="J27" s="528">
        <v>3486</v>
      </c>
      <c r="K27" s="528">
        <f>I27-J27</f>
        <v>-3046.4</v>
      </c>
      <c r="L27" s="528">
        <v>249.6</v>
      </c>
      <c r="M27" s="528">
        <v>26947.599999999999</v>
      </c>
      <c r="N27" s="528">
        <f t="shared" si="10"/>
        <v>27197.199999999997</v>
      </c>
      <c r="O27" s="535">
        <f t="shared" si="11"/>
        <v>8595.0999999999949</v>
      </c>
      <c r="P27" s="558" t="s">
        <v>1950</v>
      </c>
      <c r="Q27" s="528">
        <v>817.2</v>
      </c>
      <c r="R27" s="528">
        <v>1897.1</v>
      </c>
      <c r="S27" s="528">
        <v>-932.3</v>
      </c>
      <c r="T27" s="528">
        <v>2755.8</v>
      </c>
      <c r="U27" s="528">
        <v>-9833.4</v>
      </c>
      <c r="V27" s="535">
        <f>R27+S27+T27+U27</f>
        <v>-6112.7999999999993</v>
      </c>
      <c r="W27" s="528">
        <f t="shared" si="6"/>
        <v>-3299.4999999999964</v>
      </c>
    </row>
    <row r="28" spans="1:23" s="315" customFormat="1" ht="11.25" customHeight="1">
      <c r="A28" s="328" t="s">
        <v>2308</v>
      </c>
      <c r="B28" s="316"/>
      <c r="C28" s="855">
        <f t="shared" ref="C28:O28" si="13">SUM(C29:C32)</f>
        <v>211643</v>
      </c>
      <c r="D28" s="855">
        <f t="shared" si="13"/>
        <v>272427.10000000003</v>
      </c>
      <c r="E28" s="855">
        <f t="shared" si="13"/>
        <v>-60784.099999999991</v>
      </c>
      <c r="F28" s="855">
        <f t="shared" si="13"/>
        <v>22601.1</v>
      </c>
      <c r="G28" s="855">
        <f t="shared" si="13"/>
        <v>48387.100000000006</v>
      </c>
      <c r="H28" s="855">
        <f t="shared" si="13"/>
        <v>-25786.000000000004</v>
      </c>
      <c r="I28" s="855">
        <f t="shared" si="13"/>
        <v>965.00000000000011</v>
      </c>
      <c r="J28" s="855">
        <f t="shared" si="13"/>
        <v>19441.600000000002</v>
      </c>
      <c r="K28" s="855">
        <f t="shared" si="13"/>
        <v>-18476.600000000002</v>
      </c>
      <c r="L28" s="855">
        <f t="shared" si="13"/>
        <v>516.6</v>
      </c>
      <c r="M28" s="855">
        <f t="shared" si="13"/>
        <v>119520.40000000001</v>
      </c>
      <c r="N28" s="855">
        <f t="shared" si="13"/>
        <v>120037</v>
      </c>
      <c r="O28" s="855">
        <f t="shared" si="13"/>
        <v>14990.300000000003</v>
      </c>
      <c r="P28" s="945" t="s">
        <v>2308</v>
      </c>
      <c r="Q28" s="855">
        <f t="shared" ref="Q28:W28" si="14">SUM(Q29:Q32)</f>
        <v>4690.7999999999993</v>
      </c>
      <c r="R28" s="855">
        <f t="shared" si="14"/>
        <v>-13776.300000000001</v>
      </c>
      <c r="S28" s="855">
        <f t="shared" si="14"/>
        <v>742.90000000000009</v>
      </c>
      <c r="T28" s="855">
        <f t="shared" si="14"/>
        <v>-15951.5</v>
      </c>
      <c r="U28" s="855">
        <f t="shared" si="14"/>
        <v>41316</v>
      </c>
      <c r="V28" s="855">
        <f t="shared" si="14"/>
        <v>12331.100000000002</v>
      </c>
      <c r="W28" s="855">
        <f t="shared" si="14"/>
        <v>-7350.0000000000018</v>
      </c>
    </row>
    <row r="29" spans="1:23" s="315" customFormat="1" ht="10.35" hidden="1" customHeight="1">
      <c r="A29" s="558" t="s">
        <v>1952</v>
      </c>
      <c r="B29" s="558"/>
      <c r="C29" s="528">
        <v>50410.7</v>
      </c>
      <c r="D29" s="528">
        <v>66242.399999999994</v>
      </c>
      <c r="E29" s="528">
        <f>C29-D29</f>
        <v>-15831.699999999997</v>
      </c>
      <c r="F29" s="534">
        <v>5609.4</v>
      </c>
      <c r="G29" s="534">
        <v>12293.4</v>
      </c>
      <c r="H29" s="528">
        <f>F29-G29</f>
        <v>-6684</v>
      </c>
      <c r="I29" s="528">
        <v>349.3</v>
      </c>
      <c r="J29" s="528">
        <v>5446.4</v>
      </c>
      <c r="K29" s="528">
        <f>I29-J29</f>
        <v>-5097.0999999999995</v>
      </c>
      <c r="L29" s="528">
        <v>242.6</v>
      </c>
      <c r="M29" s="528">
        <v>29798.7</v>
      </c>
      <c r="N29" s="528">
        <f>L29+M29</f>
        <v>30041.3</v>
      </c>
      <c r="O29" s="535">
        <f>E29++H29+K29+N29</f>
        <v>2428.5000000000036</v>
      </c>
      <c r="P29" s="558" t="s">
        <v>1952</v>
      </c>
      <c r="Q29" s="528">
        <v>1051</v>
      </c>
      <c r="R29" s="528">
        <v>-3242.7</v>
      </c>
      <c r="S29" s="528">
        <v>-1032.5999999999999</v>
      </c>
      <c r="T29" s="528">
        <v>2109.8000000000002</v>
      </c>
      <c r="U29" s="528">
        <v>6019</v>
      </c>
      <c r="V29" s="535">
        <f t="shared" ref="V29:V37" si="15">R29+S29+T29+U29</f>
        <v>3853.5000000000009</v>
      </c>
      <c r="W29" s="528">
        <f>-(O29+Q29-V29)</f>
        <v>373.99999999999727</v>
      </c>
    </row>
    <row r="30" spans="1:23" s="315" customFormat="1" ht="10.35" hidden="1" customHeight="1">
      <c r="A30" s="316" t="s">
        <v>1949</v>
      </c>
      <c r="B30" s="316"/>
      <c r="C30" s="88">
        <v>50177.8</v>
      </c>
      <c r="D30" s="88">
        <v>65773.3</v>
      </c>
      <c r="E30" s="88">
        <f>C30-D30</f>
        <v>-15595.5</v>
      </c>
      <c r="F30" s="88">
        <v>5759.8</v>
      </c>
      <c r="G30" s="42">
        <v>12670.2</v>
      </c>
      <c r="H30" s="88">
        <f>F30-G30</f>
        <v>-6910.4000000000005</v>
      </c>
      <c r="I30" s="88">
        <v>265.10000000000002</v>
      </c>
      <c r="J30" s="88">
        <v>4126.3</v>
      </c>
      <c r="K30" s="88">
        <f>I30-J30</f>
        <v>-3861.2000000000003</v>
      </c>
      <c r="L30" s="88">
        <v>116.6</v>
      </c>
      <c r="M30" s="88">
        <v>32413.599999999999</v>
      </c>
      <c r="N30" s="88">
        <f>L30+M30</f>
        <v>32530.199999999997</v>
      </c>
      <c r="O30" s="441">
        <f>E30++H30+K30+N30</f>
        <v>6163.0999999999949</v>
      </c>
      <c r="P30" s="316" t="s">
        <v>1949</v>
      </c>
      <c r="Q30" s="88">
        <v>1548.6</v>
      </c>
      <c r="R30" s="88">
        <v>-3238.3</v>
      </c>
      <c r="S30" s="88">
        <v>1528.8</v>
      </c>
      <c r="T30" s="88">
        <v>-7249.6</v>
      </c>
      <c r="U30" s="42">
        <v>12228.5</v>
      </c>
      <c r="V30" s="441">
        <f t="shared" si="15"/>
        <v>3269.3999999999996</v>
      </c>
      <c r="W30" s="88">
        <f>-(O30+Q30-V30)</f>
        <v>-4442.2999999999956</v>
      </c>
    </row>
    <row r="31" spans="1:23" s="315" customFormat="1" ht="10.35" hidden="1" customHeight="1">
      <c r="A31" s="558" t="s">
        <v>1951</v>
      </c>
      <c r="B31" s="558"/>
      <c r="C31" s="528">
        <v>55023.1</v>
      </c>
      <c r="D31" s="528">
        <v>66242.7</v>
      </c>
      <c r="E31" s="528">
        <f>C31-D31</f>
        <v>-11219.599999999999</v>
      </c>
      <c r="F31" s="534">
        <v>5395.4</v>
      </c>
      <c r="G31" s="534">
        <v>10954.2</v>
      </c>
      <c r="H31" s="528">
        <f>F31-G31</f>
        <v>-5558.8000000000011</v>
      </c>
      <c r="I31" s="528">
        <v>152.69999999999999</v>
      </c>
      <c r="J31" s="528">
        <v>4615.1000000000004</v>
      </c>
      <c r="K31" s="528">
        <f>I31-J31</f>
        <v>-4462.4000000000005</v>
      </c>
      <c r="L31" s="528">
        <v>79.900000000000006</v>
      </c>
      <c r="M31" s="528">
        <v>30301.4</v>
      </c>
      <c r="N31" s="528">
        <f>L31+M31</f>
        <v>30381.300000000003</v>
      </c>
      <c r="O31" s="535">
        <f>E31++H31+K31+N31</f>
        <v>9140.5</v>
      </c>
      <c r="P31" s="558" t="s">
        <v>1951</v>
      </c>
      <c r="Q31" s="528">
        <v>1061.0999999999999</v>
      </c>
      <c r="R31" s="528">
        <v>-3658.2</v>
      </c>
      <c r="S31" s="528">
        <v>-6.1</v>
      </c>
      <c r="T31" s="528">
        <v>1996.8</v>
      </c>
      <c r="U31" s="528">
        <v>10823.3</v>
      </c>
      <c r="V31" s="535">
        <f t="shared" si="15"/>
        <v>9155.7999999999993</v>
      </c>
      <c r="W31" s="528">
        <f>-(O31+Q31-V31)</f>
        <v>-1045.8000000000011</v>
      </c>
    </row>
    <row r="32" spans="1:23" s="315" customFormat="1" ht="10.35" hidden="1" customHeight="1">
      <c r="A32" s="316" t="s">
        <v>1950</v>
      </c>
      <c r="B32" s="316"/>
      <c r="C32" s="88">
        <v>56031.4</v>
      </c>
      <c r="D32" s="88">
        <v>74168.7</v>
      </c>
      <c r="E32" s="88">
        <f>C32-D32</f>
        <v>-18137.299999999996</v>
      </c>
      <c r="F32" s="42">
        <v>5836.5</v>
      </c>
      <c r="G32" s="42">
        <v>12469.3</v>
      </c>
      <c r="H32" s="88">
        <f>F32-G32</f>
        <v>-6632.7999999999993</v>
      </c>
      <c r="I32" s="88">
        <v>197.9</v>
      </c>
      <c r="J32" s="88">
        <v>5253.8</v>
      </c>
      <c r="K32" s="88">
        <f>I32-J32</f>
        <v>-5055.9000000000005</v>
      </c>
      <c r="L32" s="88">
        <v>77.5</v>
      </c>
      <c r="M32" s="88">
        <v>27006.7</v>
      </c>
      <c r="N32" s="88">
        <f>L32+M32</f>
        <v>27084.2</v>
      </c>
      <c r="O32" s="441">
        <f>E32++H32+K32+N32</f>
        <v>-2741.7999999999956</v>
      </c>
      <c r="P32" s="316" t="s">
        <v>1950</v>
      </c>
      <c r="Q32" s="88">
        <v>1030.0999999999999</v>
      </c>
      <c r="R32" s="88">
        <v>-3637.1</v>
      </c>
      <c r="S32" s="88">
        <v>252.8</v>
      </c>
      <c r="T32" s="88">
        <v>-12808.5</v>
      </c>
      <c r="U32" s="42">
        <v>12245.2</v>
      </c>
      <c r="V32" s="441">
        <f t="shared" si="15"/>
        <v>-3947.5999999999985</v>
      </c>
      <c r="W32" s="88">
        <f>-(O32+Q32-V32)</f>
        <v>-2235.9000000000028</v>
      </c>
    </row>
    <row r="33" spans="1:23" s="315" customFormat="1" ht="10.35" customHeight="1">
      <c r="A33" s="559" t="s">
        <v>2226</v>
      </c>
      <c r="B33" s="558"/>
      <c r="C33" s="541">
        <f t="shared" ref="C33:O33" si="16">SUM(C34:C37)</f>
        <v>230946.3</v>
      </c>
      <c r="D33" s="541">
        <f t="shared" si="16"/>
        <v>286835.69999999995</v>
      </c>
      <c r="E33" s="541">
        <f t="shared" si="16"/>
        <v>-55889.4</v>
      </c>
      <c r="F33" s="541">
        <f t="shared" si="16"/>
        <v>24212.899999999998</v>
      </c>
      <c r="G33" s="541">
        <f t="shared" si="16"/>
        <v>56129.399999999994</v>
      </c>
      <c r="H33" s="541">
        <f t="shared" si="16"/>
        <v>-31916.5</v>
      </c>
      <c r="I33" s="541">
        <f t="shared" si="16"/>
        <v>1011.5000000000001</v>
      </c>
      <c r="J33" s="541">
        <f t="shared" si="16"/>
        <v>21168.1</v>
      </c>
      <c r="K33" s="541">
        <f t="shared" si="16"/>
        <v>-20156.599999999999</v>
      </c>
      <c r="L33" s="541">
        <f t="shared" si="16"/>
        <v>615.20000000000005</v>
      </c>
      <c r="M33" s="541">
        <f t="shared" si="16"/>
        <v>115425</v>
      </c>
      <c r="N33" s="541">
        <f t="shared" si="16"/>
        <v>116040.2</v>
      </c>
      <c r="O33" s="541">
        <f t="shared" si="16"/>
        <v>8077.7000000000044</v>
      </c>
      <c r="P33" s="559" t="s">
        <v>2226</v>
      </c>
      <c r="Q33" s="541">
        <f>SUM(Q34:Q37)</f>
        <v>5009.5</v>
      </c>
      <c r="R33" s="541">
        <f>SUM(R34:R37)</f>
        <v>-11562.9</v>
      </c>
      <c r="S33" s="541">
        <f>SUM(S34:S37)</f>
        <v>-3019.8999999999996</v>
      </c>
      <c r="T33" s="541">
        <f>SUM(T34:T37)</f>
        <v>-17019.400000000001</v>
      </c>
      <c r="U33" s="541">
        <f>SUM(U34:U37)</f>
        <v>45942.100000000006</v>
      </c>
      <c r="V33" s="948">
        <f t="shared" si="15"/>
        <v>14339.900000000005</v>
      </c>
      <c r="W33" s="541">
        <f>SUM(W34:W37)</f>
        <v>1252.6999999999916</v>
      </c>
    </row>
    <row r="34" spans="1:23" s="315" customFormat="1" ht="10.35" customHeight="1">
      <c r="A34" s="316" t="s">
        <v>1952</v>
      </c>
      <c r="B34" s="316"/>
      <c r="C34" s="88">
        <v>58485.3</v>
      </c>
      <c r="D34" s="88">
        <v>69051.100000000006</v>
      </c>
      <c r="E34" s="88">
        <f>C34-D34</f>
        <v>-10565.800000000003</v>
      </c>
      <c r="F34" s="88">
        <v>5686.6</v>
      </c>
      <c r="G34" s="88">
        <v>13333.4</v>
      </c>
      <c r="H34" s="88">
        <f>F34-G34</f>
        <v>-7646.7999999999993</v>
      </c>
      <c r="I34" s="88">
        <v>371.8</v>
      </c>
      <c r="J34" s="88">
        <v>5638.6</v>
      </c>
      <c r="K34" s="88">
        <f>I34-J34</f>
        <v>-5266.8</v>
      </c>
      <c r="L34" s="88">
        <v>117.3</v>
      </c>
      <c r="M34" s="88">
        <v>26557.8</v>
      </c>
      <c r="N34" s="88">
        <f>L34+M34</f>
        <v>26675.1</v>
      </c>
      <c r="O34" s="441">
        <f>E34++H34+K34+N34</f>
        <v>3195.6999999999971</v>
      </c>
      <c r="P34" s="316" t="s">
        <v>1952</v>
      </c>
      <c r="Q34" s="88">
        <v>1558.6</v>
      </c>
      <c r="R34" s="88">
        <v>-2578.1999999999998</v>
      </c>
      <c r="S34" s="88">
        <v>-1321.4</v>
      </c>
      <c r="T34" s="88">
        <v>2920.1</v>
      </c>
      <c r="U34" s="42">
        <v>4898.7</v>
      </c>
      <c r="V34" s="441">
        <f t="shared" si="15"/>
        <v>3919.2</v>
      </c>
      <c r="W34" s="88">
        <f>-(O34+Q34-V34)</f>
        <v>-835.09999999999764</v>
      </c>
    </row>
    <row r="35" spans="1:23" s="315" customFormat="1" ht="10.35" customHeight="1">
      <c r="A35" s="558" t="s">
        <v>1949</v>
      </c>
      <c r="B35" s="558"/>
      <c r="C35" s="528">
        <v>54108.6</v>
      </c>
      <c r="D35" s="528">
        <v>63864.9</v>
      </c>
      <c r="E35" s="528">
        <f>C35-D35</f>
        <v>-9756.3000000000029</v>
      </c>
      <c r="F35" s="528">
        <v>6480.5</v>
      </c>
      <c r="G35" s="528">
        <v>14506.4</v>
      </c>
      <c r="H35" s="528">
        <f>F35-G35</f>
        <v>-8025.9</v>
      </c>
      <c r="I35" s="528">
        <v>309.3</v>
      </c>
      <c r="J35" s="528">
        <v>5102.3999999999996</v>
      </c>
      <c r="K35" s="528">
        <f>I35-J35</f>
        <v>-4793.0999999999995</v>
      </c>
      <c r="L35" s="528">
        <v>334.6</v>
      </c>
      <c r="M35" s="528">
        <v>28796.1</v>
      </c>
      <c r="N35" s="528">
        <f>L35+M35</f>
        <v>29130.699999999997</v>
      </c>
      <c r="O35" s="535">
        <f>E35++H35+K35+N35</f>
        <v>6555.3999999999942</v>
      </c>
      <c r="P35" s="558" t="s">
        <v>1949</v>
      </c>
      <c r="Q35" s="528">
        <v>2009.6</v>
      </c>
      <c r="R35" s="528">
        <v>-2579.8000000000002</v>
      </c>
      <c r="S35" s="528">
        <v>44.2</v>
      </c>
      <c r="T35" s="528">
        <v>-10405.1</v>
      </c>
      <c r="U35" s="528">
        <v>15407.7</v>
      </c>
      <c r="V35" s="535">
        <f t="shared" si="15"/>
        <v>2467</v>
      </c>
      <c r="W35" s="528">
        <f>-(O35+Q35-V35)</f>
        <v>-6097.9999999999945</v>
      </c>
    </row>
    <row r="36" spans="1:23" s="315" customFormat="1" ht="10.35" customHeight="1">
      <c r="A36" s="316" t="s">
        <v>1951</v>
      </c>
      <c r="B36" s="316"/>
      <c r="C36" s="88">
        <v>57795.4</v>
      </c>
      <c r="D36" s="88">
        <v>75040.3</v>
      </c>
      <c r="E36" s="88">
        <f>C36-D36</f>
        <v>-17244.900000000001</v>
      </c>
      <c r="F36" s="88">
        <v>5784</v>
      </c>
      <c r="G36" s="88">
        <v>12885.8</v>
      </c>
      <c r="H36" s="88">
        <f>F36-G36</f>
        <v>-7101.7999999999993</v>
      </c>
      <c r="I36" s="88">
        <v>191.8</v>
      </c>
      <c r="J36" s="88">
        <v>4686.8999999999996</v>
      </c>
      <c r="K36" s="88">
        <f>I36-J36</f>
        <v>-4495.0999999999995</v>
      </c>
      <c r="L36" s="88">
        <v>111.9</v>
      </c>
      <c r="M36" s="88">
        <v>29979.7</v>
      </c>
      <c r="N36" s="88">
        <f>L36+M36</f>
        <v>30091.600000000002</v>
      </c>
      <c r="O36" s="441">
        <f>E36++H36+K36+N36</f>
        <v>1249.8000000000029</v>
      </c>
      <c r="P36" s="316" t="s">
        <v>1951</v>
      </c>
      <c r="Q36" s="88">
        <v>758</v>
      </c>
      <c r="R36" s="88">
        <v>-3404.8</v>
      </c>
      <c r="S36" s="88">
        <v>1627.5</v>
      </c>
      <c r="T36" s="88">
        <v>2039.2</v>
      </c>
      <c r="U36" s="88">
        <v>8876.4</v>
      </c>
      <c r="V36" s="441">
        <f t="shared" si="15"/>
        <v>9138.2999999999993</v>
      </c>
      <c r="W36" s="88">
        <f>-(O36+Q36-V36)</f>
        <v>7130.4999999999964</v>
      </c>
    </row>
    <row r="37" spans="1:23" s="315" customFormat="1" ht="10.35" customHeight="1">
      <c r="A37" s="558" t="s">
        <v>1950</v>
      </c>
      <c r="B37" s="558"/>
      <c r="C37" s="528">
        <v>60557</v>
      </c>
      <c r="D37" s="528">
        <v>78879.399999999994</v>
      </c>
      <c r="E37" s="528">
        <f>C37-D37</f>
        <v>-18322.399999999994</v>
      </c>
      <c r="F37" s="528">
        <v>6261.8</v>
      </c>
      <c r="G37" s="528">
        <v>15403.8</v>
      </c>
      <c r="H37" s="528">
        <f>F37-G37</f>
        <v>-9142</v>
      </c>
      <c r="I37" s="528">
        <v>138.6</v>
      </c>
      <c r="J37" s="528">
        <v>5740.2</v>
      </c>
      <c r="K37" s="528">
        <f>I37-J37</f>
        <v>-5601.5999999999995</v>
      </c>
      <c r="L37" s="528">
        <v>51.4</v>
      </c>
      <c r="M37" s="528">
        <v>30091.4</v>
      </c>
      <c r="N37" s="528">
        <f>L37+M37</f>
        <v>30142.800000000003</v>
      </c>
      <c r="O37" s="535">
        <f>E37++H37+K37+N37</f>
        <v>-2923.1999999999898</v>
      </c>
      <c r="P37" s="558" t="s">
        <v>1950</v>
      </c>
      <c r="Q37" s="528">
        <v>683.3</v>
      </c>
      <c r="R37" s="528">
        <v>-3000.1</v>
      </c>
      <c r="S37" s="528">
        <v>-3370.2</v>
      </c>
      <c r="T37" s="528">
        <v>-11573.6</v>
      </c>
      <c r="U37" s="528">
        <v>16759.3</v>
      </c>
      <c r="V37" s="535">
        <f t="shared" si="15"/>
        <v>-1184.6000000000022</v>
      </c>
      <c r="W37" s="528">
        <f>-(O37+Q37-V37)</f>
        <v>1055.2999999999874</v>
      </c>
    </row>
    <row r="38" spans="1:23" s="353" customFormat="1" ht="10.35" customHeight="1">
      <c r="A38" s="328" t="s">
        <v>2376</v>
      </c>
      <c r="B38" s="328"/>
      <c r="C38" s="855">
        <f>SUM(C39:C50)</f>
        <v>238504.4</v>
      </c>
      <c r="D38" s="855">
        <f>SUM(D39:D50)</f>
        <v>320358.2</v>
      </c>
      <c r="E38" s="855">
        <f t="shared" ref="E38:O38" si="17">SUM(E39:E50)</f>
        <v>-81853.800000000017</v>
      </c>
      <c r="F38" s="855">
        <f t="shared" si="17"/>
        <v>24285.300000000003</v>
      </c>
      <c r="G38" s="855">
        <f t="shared" si="17"/>
        <v>54792.6</v>
      </c>
      <c r="H38" s="855">
        <f t="shared" si="17"/>
        <v>-30507.299999999996</v>
      </c>
      <c r="I38" s="855">
        <f t="shared" si="17"/>
        <v>907.60000000000014</v>
      </c>
      <c r="J38" s="855">
        <f t="shared" si="17"/>
        <v>20157.400000000001</v>
      </c>
      <c r="K38" s="855">
        <f t="shared" si="17"/>
        <v>-19249.800000000003</v>
      </c>
      <c r="L38" s="855">
        <f t="shared" si="17"/>
        <v>428.09999999999997</v>
      </c>
      <c r="M38" s="855">
        <f t="shared" si="17"/>
        <v>122823.9</v>
      </c>
      <c r="N38" s="855">
        <f t="shared" si="17"/>
        <v>123252.00000000001</v>
      </c>
      <c r="O38" s="855">
        <f t="shared" si="17"/>
        <v>-8358.9000000000051</v>
      </c>
      <c r="P38" s="1073" t="s">
        <v>2376</v>
      </c>
      <c r="Q38" s="855">
        <f t="shared" ref="Q38:W38" si="18">SUM(Q39:Q50)</f>
        <v>3394.8999999999996</v>
      </c>
      <c r="R38" s="855">
        <f t="shared" si="18"/>
        <v>-9785.7000000000007</v>
      </c>
      <c r="S38" s="855">
        <f t="shared" si="18"/>
        <v>-2446.8999999999996</v>
      </c>
      <c r="T38" s="855">
        <f t="shared" si="18"/>
        <v>-26367</v>
      </c>
      <c r="U38" s="855">
        <f t="shared" si="18"/>
        <v>32810.6</v>
      </c>
      <c r="V38" s="855">
        <f t="shared" si="18"/>
        <v>-5789</v>
      </c>
      <c r="W38" s="855">
        <f t="shared" si="18"/>
        <v>-824.99999999999386</v>
      </c>
    </row>
    <row r="39" spans="1:23" s="315" customFormat="1" ht="10.35" customHeight="1">
      <c r="A39" s="558" t="s">
        <v>1211</v>
      </c>
      <c r="B39" s="558"/>
      <c r="C39" s="528">
        <v>22943.4</v>
      </c>
      <c r="D39" s="528">
        <v>22228.799999999999</v>
      </c>
      <c r="E39" s="528">
        <f t="shared" si="8"/>
        <v>714.60000000000218</v>
      </c>
      <c r="F39" s="528">
        <v>1980.4</v>
      </c>
      <c r="G39" s="528">
        <v>3803.8</v>
      </c>
      <c r="H39" s="528">
        <f t="shared" si="9"/>
        <v>-1823.4</v>
      </c>
      <c r="I39" s="521">
        <v>353.7</v>
      </c>
      <c r="J39" s="521">
        <v>1602.9</v>
      </c>
      <c r="K39" s="521">
        <f t="shared" ref="K39:K50" si="19">I39-J39</f>
        <v>-1249.2</v>
      </c>
      <c r="L39" s="521">
        <v>4.5999999999999996</v>
      </c>
      <c r="M39" s="521">
        <v>11812.9</v>
      </c>
      <c r="N39" s="521">
        <f t="shared" ref="N39:N50" si="20">L39+M39</f>
        <v>11817.5</v>
      </c>
      <c r="O39" s="520">
        <f t="shared" si="11"/>
        <v>9459.5000000000018</v>
      </c>
      <c r="P39" s="582" t="s">
        <v>1211</v>
      </c>
      <c r="Q39" s="521">
        <v>61.9</v>
      </c>
      <c r="R39" s="521">
        <v>-664.9</v>
      </c>
      <c r="S39" s="521">
        <v>-1.8</v>
      </c>
      <c r="T39" s="521">
        <v>9755.6</v>
      </c>
      <c r="U39" s="521">
        <v>-351.6</v>
      </c>
      <c r="V39" s="520">
        <f t="shared" si="5"/>
        <v>8737.2999999999993</v>
      </c>
      <c r="W39" s="528">
        <f t="shared" ref="W39:W55" si="21">-(O39+Q39-V39)</f>
        <v>-784.10000000000218</v>
      </c>
    </row>
    <row r="40" spans="1:23" s="315" customFormat="1" ht="10.35" customHeight="1">
      <c r="A40" s="316" t="s">
        <v>1212</v>
      </c>
      <c r="B40" s="316"/>
      <c r="C40" s="88">
        <v>16391.3</v>
      </c>
      <c r="D40" s="88">
        <v>26001</v>
      </c>
      <c r="E40" s="88">
        <f t="shared" si="8"/>
        <v>-9609.7000000000007</v>
      </c>
      <c r="F40" s="88">
        <v>1916.4</v>
      </c>
      <c r="G40" s="88">
        <v>4390.3</v>
      </c>
      <c r="H40" s="88">
        <f t="shared" si="9"/>
        <v>-2473.9</v>
      </c>
      <c r="I40" s="433">
        <v>84.2</v>
      </c>
      <c r="J40" s="433">
        <v>2200.8000000000002</v>
      </c>
      <c r="K40" s="433">
        <f>I40-J40</f>
        <v>-2116.6000000000004</v>
      </c>
      <c r="L40" s="433">
        <v>17.3</v>
      </c>
      <c r="M40" s="433">
        <v>9309.7999999999993</v>
      </c>
      <c r="N40" s="433">
        <f t="shared" si="20"/>
        <v>9327.0999999999985</v>
      </c>
      <c r="O40" s="432">
        <f t="shared" si="11"/>
        <v>-4873.1000000000022</v>
      </c>
      <c r="P40" s="452" t="s">
        <v>1212</v>
      </c>
      <c r="Q40" s="433">
        <v>229.3</v>
      </c>
      <c r="R40" s="433">
        <v>-806.4</v>
      </c>
      <c r="S40" s="433">
        <v>-2020</v>
      </c>
      <c r="T40" s="433">
        <v>-8061.5</v>
      </c>
      <c r="U40" s="433">
        <v>5791.7</v>
      </c>
      <c r="V40" s="432">
        <f t="shared" si="5"/>
        <v>-5096.2</v>
      </c>
      <c r="W40" s="88">
        <f t="shared" si="21"/>
        <v>-452.39999999999782</v>
      </c>
    </row>
    <row r="41" spans="1:23" s="315" customFormat="1" ht="10.35" customHeight="1">
      <c r="A41" s="558" t="s">
        <v>1206</v>
      </c>
      <c r="B41" s="558"/>
      <c r="C41" s="528">
        <v>19418.3</v>
      </c>
      <c r="D41" s="528">
        <v>30660.5</v>
      </c>
      <c r="E41" s="528">
        <f t="shared" si="8"/>
        <v>-11242.2</v>
      </c>
      <c r="F41" s="528">
        <v>2083.9</v>
      </c>
      <c r="G41" s="528">
        <v>4618.6000000000004</v>
      </c>
      <c r="H41" s="528">
        <f t="shared" si="9"/>
        <v>-2534.7000000000003</v>
      </c>
      <c r="I41" s="521">
        <v>109</v>
      </c>
      <c r="J41" s="521">
        <v>1822.7</v>
      </c>
      <c r="K41" s="521">
        <f t="shared" si="19"/>
        <v>-1713.7</v>
      </c>
      <c r="L41" s="521">
        <v>19.5</v>
      </c>
      <c r="M41" s="521">
        <v>10686.2</v>
      </c>
      <c r="N41" s="521">
        <f t="shared" si="20"/>
        <v>10705.7</v>
      </c>
      <c r="O41" s="520">
        <f t="shared" si="11"/>
        <v>-4784.9000000000015</v>
      </c>
      <c r="P41" s="582" t="s">
        <v>1206</v>
      </c>
      <c r="Q41" s="521">
        <v>249.5</v>
      </c>
      <c r="R41" s="521">
        <v>-751.6</v>
      </c>
      <c r="S41" s="521">
        <v>110.3</v>
      </c>
      <c r="T41" s="521">
        <v>-2726.9</v>
      </c>
      <c r="U41" s="521">
        <v>-425.6</v>
      </c>
      <c r="V41" s="520">
        <f t="shared" si="5"/>
        <v>-3793.8</v>
      </c>
      <c r="W41" s="528">
        <f t="shared" si="21"/>
        <v>741.60000000000127</v>
      </c>
    </row>
    <row r="42" spans="1:23" s="315" customFormat="1" ht="10.35" customHeight="1">
      <c r="A42" s="316" t="s">
        <v>1213</v>
      </c>
      <c r="B42" s="316"/>
      <c r="C42" s="88">
        <v>14915.6</v>
      </c>
      <c r="D42" s="88">
        <v>25371.7</v>
      </c>
      <c r="E42" s="88">
        <f t="shared" si="8"/>
        <v>-10456.1</v>
      </c>
      <c r="F42" s="88">
        <v>2285.9</v>
      </c>
      <c r="G42" s="88">
        <v>4734.8</v>
      </c>
      <c r="H42" s="88">
        <f t="shared" si="9"/>
        <v>-2448.9</v>
      </c>
      <c r="I42" s="433">
        <v>30.5</v>
      </c>
      <c r="J42" s="433">
        <v>1421.2</v>
      </c>
      <c r="K42" s="433">
        <f t="shared" si="19"/>
        <v>-1390.7</v>
      </c>
      <c r="L42" s="433">
        <v>95.8</v>
      </c>
      <c r="M42" s="433">
        <v>8280.2000000000007</v>
      </c>
      <c r="N42" s="433">
        <f t="shared" si="20"/>
        <v>8376</v>
      </c>
      <c r="O42" s="432">
        <f t="shared" si="11"/>
        <v>-5919.7000000000007</v>
      </c>
      <c r="P42" s="452" t="s">
        <v>1213</v>
      </c>
      <c r="Q42" s="433">
        <v>53.5</v>
      </c>
      <c r="R42" s="433">
        <v>-780.7</v>
      </c>
      <c r="S42" s="433">
        <v>-1701.5</v>
      </c>
      <c r="T42" s="433">
        <v>-8130.1</v>
      </c>
      <c r="U42" s="433">
        <v>3771.6</v>
      </c>
      <c r="V42" s="432">
        <f t="shared" si="5"/>
        <v>-6840.6999999999989</v>
      </c>
      <c r="W42" s="88">
        <f t="shared" si="21"/>
        <v>-974.49999999999818</v>
      </c>
    </row>
    <row r="43" spans="1:23" s="315" customFormat="1" ht="10.35" customHeight="1">
      <c r="A43" s="558" t="s">
        <v>1214</v>
      </c>
      <c r="B43" s="558"/>
      <c r="C43" s="528">
        <v>18480.099999999999</v>
      </c>
      <c r="D43" s="528">
        <v>24654.9</v>
      </c>
      <c r="E43" s="528">
        <f t="shared" si="8"/>
        <v>-6174.8000000000029</v>
      </c>
      <c r="F43" s="528">
        <v>1865.1</v>
      </c>
      <c r="G43" s="528">
        <v>3585.2</v>
      </c>
      <c r="H43" s="528">
        <f t="shared" si="9"/>
        <v>-1720.1</v>
      </c>
      <c r="I43" s="521">
        <v>36.1</v>
      </c>
      <c r="J43" s="521">
        <v>1486.3</v>
      </c>
      <c r="K43" s="521">
        <f t="shared" si="19"/>
        <v>-1450.2</v>
      </c>
      <c r="L43" s="521">
        <v>13.9</v>
      </c>
      <c r="M43" s="521">
        <v>9539.2999999999993</v>
      </c>
      <c r="N43" s="521">
        <f t="shared" si="20"/>
        <v>9553.1999999999989</v>
      </c>
      <c r="O43" s="520">
        <f t="shared" si="11"/>
        <v>208.09999999999491</v>
      </c>
      <c r="P43" s="582" t="s">
        <v>1214</v>
      </c>
      <c r="Q43" s="521">
        <v>184.7</v>
      </c>
      <c r="R43" s="521">
        <v>-743.2</v>
      </c>
      <c r="S43" s="521">
        <v>-1676.3</v>
      </c>
      <c r="T43" s="521">
        <v>6526.7</v>
      </c>
      <c r="U43" s="521">
        <v>-4892.5</v>
      </c>
      <c r="V43" s="520">
        <f t="shared" si="5"/>
        <v>-785.30000000000018</v>
      </c>
      <c r="W43" s="528">
        <f t="shared" si="21"/>
        <v>-1178.0999999999951</v>
      </c>
    </row>
    <row r="44" spans="1:23" s="315" customFormat="1" ht="10.35" customHeight="1">
      <c r="A44" s="316" t="s">
        <v>1207</v>
      </c>
      <c r="B44" s="316"/>
      <c r="C44" s="88">
        <v>21864.3</v>
      </c>
      <c r="D44" s="88">
        <v>28493.3</v>
      </c>
      <c r="E44" s="88">
        <f t="shared" si="8"/>
        <v>-6629</v>
      </c>
      <c r="F44" s="88">
        <v>2357.4</v>
      </c>
      <c r="G44" s="88">
        <v>5709.8</v>
      </c>
      <c r="H44" s="88">
        <f t="shared" si="9"/>
        <v>-3352.4</v>
      </c>
      <c r="I44" s="433">
        <v>30</v>
      </c>
      <c r="J44" s="433">
        <v>1644.1</v>
      </c>
      <c r="K44" s="433">
        <f t="shared" si="19"/>
        <v>-1614.1</v>
      </c>
      <c r="L44" s="433">
        <v>43.7</v>
      </c>
      <c r="M44" s="433">
        <v>10888.7</v>
      </c>
      <c r="N44" s="433">
        <f t="shared" si="20"/>
        <v>10932.400000000001</v>
      </c>
      <c r="O44" s="432">
        <f t="shared" si="11"/>
        <v>-663.09999999999854</v>
      </c>
      <c r="P44" s="452" t="s">
        <v>1207</v>
      </c>
      <c r="Q44" s="433">
        <v>580.6</v>
      </c>
      <c r="R44" s="433">
        <v>-1061.4000000000001</v>
      </c>
      <c r="S44" s="433">
        <v>2620.3000000000002</v>
      </c>
      <c r="T44" s="433">
        <v>-7603.7</v>
      </c>
      <c r="U44" s="433">
        <v>6290.3</v>
      </c>
      <c r="V44" s="432">
        <f t="shared" si="5"/>
        <v>245.50000000000091</v>
      </c>
      <c r="W44" s="88">
        <f t="shared" si="21"/>
        <v>327.99999999999943</v>
      </c>
    </row>
    <row r="45" spans="1:23" s="315" customFormat="1" ht="10.35" customHeight="1">
      <c r="A45" s="558" t="s">
        <v>1215</v>
      </c>
      <c r="B45" s="558"/>
      <c r="C45" s="528">
        <v>22134.3</v>
      </c>
      <c r="D45" s="528">
        <v>25526.6</v>
      </c>
      <c r="E45" s="528">
        <f t="shared" si="8"/>
        <v>-3392.2999999999993</v>
      </c>
      <c r="F45" s="528">
        <v>1645.7</v>
      </c>
      <c r="G45" s="528">
        <v>4267</v>
      </c>
      <c r="H45" s="528">
        <f t="shared" si="9"/>
        <v>-2621.3000000000002</v>
      </c>
      <c r="I45" s="521">
        <v>31.6</v>
      </c>
      <c r="J45" s="521">
        <v>1732.8</v>
      </c>
      <c r="K45" s="521">
        <f t="shared" si="19"/>
        <v>-1701.2</v>
      </c>
      <c r="L45" s="521">
        <v>8</v>
      </c>
      <c r="M45" s="521">
        <v>9890.9</v>
      </c>
      <c r="N45" s="521">
        <f t="shared" si="20"/>
        <v>9898.9</v>
      </c>
      <c r="O45" s="520">
        <f t="shared" si="11"/>
        <v>2184.1000000000004</v>
      </c>
      <c r="P45" s="582" t="s">
        <v>1215</v>
      </c>
      <c r="Q45" s="521">
        <v>105.7</v>
      </c>
      <c r="R45" s="521">
        <v>-682.5</v>
      </c>
      <c r="S45" s="521">
        <v>659.5</v>
      </c>
      <c r="T45" s="521">
        <v>3537.1</v>
      </c>
      <c r="U45" s="521">
        <v>-909.1</v>
      </c>
      <c r="V45" s="520">
        <f t="shared" si="5"/>
        <v>2605</v>
      </c>
      <c r="W45" s="528">
        <f t="shared" si="21"/>
        <v>315.19999999999982</v>
      </c>
    </row>
    <row r="46" spans="1:23" s="315" customFormat="1" ht="10.35" customHeight="1">
      <c r="A46" s="316" t="s">
        <v>1216</v>
      </c>
      <c r="B46" s="316"/>
      <c r="C46" s="88">
        <v>19244.400000000001</v>
      </c>
      <c r="D46" s="88">
        <v>25526.7</v>
      </c>
      <c r="E46" s="88">
        <f t="shared" si="8"/>
        <v>-6282.2999999999993</v>
      </c>
      <c r="F46" s="88">
        <v>1696.1</v>
      </c>
      <c r="G46" s="88">
        <v>3804.4</v>
      </c>
      <c r="H46" s="88">
        <f t="shared" si="9"/>
        <v>-2108.3000000000002</v>
      </c>
      <c r="I46" s="433">
        <v>51.1</v>
      </c>
      <c r="J46" s="433">
        <v>1245.8</v>
      </c>
      <c r="K46" s="433">
        <f t="shared" si="19"/>
        <v>-1194.7</v>
      </c>
      <c r="L46" s="433">
        <v>4.5</v>
      </c>
      <c r="M46" s="433">
        <v>9472.6</v>
      </c>
      <c r="N46" s="433">
        <f t="shared" si="20"/>
        <v>9477.1</v>
      </c>
      <c r="O46" s="432">
        <f t="shared" si="11"/>
        <v>-108.19999999999891</v>
      </c>
      <c r="P46" s="452" t="s">
        <v>1216</v>
      </c>
      <c r="Q46" s="433">
        <v>60.3</v>
      </c>
      <c r="R46" s="433">
        <v>-774</v>
      </c>
      <c r="S46" s="433">
        <v>-811.1</v>
      </c>
      <c r="T46" s="433">
        <v>-5271.5</v>
      </c>
      <c r="U46" s="433">
        <v>7689.6</v>
      </c>
      <c r="V46" s="432">
        <f t="shared" si="5"/>
        <v>833</v>
      </c>
      <c r="W46" s="88">
        <f t="shared" si="21"/>
        <v>880.89999999999895</v>
      </c>
    </row>
    <row r="47" spans="1:23" s="315" customFormat="1" ht="10.35" customHeight="1">
      <c r="A47" s="558" t="s">
        <v>1208</v>
      </c>
      <c r="B47" s="558"/>
      <c r="C47" s="528">
        <v>19781</v>
      </c>
      <c r="D47" s="528">
        <v>26130.3</v>
      </c>
      <c r="E47" s="528">
        <f t="shared" si="8"/>
        <v>-6349.2999999999993</v>
      </c>
      <c r="F47" s="528">
        <v>2290.1999999999998</v>
      </c>
      <c r="G47" s="528">
        <v>4916.7</v>
      </c>
      <c r="H47" s="528">
        <f t="shared" si="9"/>
        <v>-2626.5</v>
      </c>
      <c r="I47" s="521">
        <v>50.1</v>
      </c>
      <c r="J47" s="521">
        <v>1741.9</v>
      </c>
      <c r="K47" s="521">
        <f t="shared" si="19"/>
        <v>-1691.8000000000002</v>
      </c>
      <c r="L47" s="521">
        <v>69.599999999999994</v>
      </c>
      <c r="M47" s="521">
        <v>10643</v>
      </c>
      <c r="N47" s="521">
        <f t="shared" si="20"/>
        <v>10712.6</v>
      </c>
      <c r="O47" s="520">
        <f t="shared" si="11"/>
        <v>45.000000000001819</v>
      </c>
      <c r="P47" s="582" t="s">
        <v>1208</v>
      </c>
      <c r="Q47" s="521">
        <v>387</v>
      </c>
      <c r="R47" s="521">
        <v>-1161.5</v>
      </c>
      <c r="S47" s="521">
        <v>-623.29999999999995</v>
      </c>
      <c r="T47" s="521">
        <v>1671.8</v>
      </c>
      <c r="U47" s="521">
        <v>1464</v>
      </c>
      <c r="V47" s="520">
        <f t="shared" si="5"/>
        <v>1351</v>
      </c>
      <c r="W47" s="528">
        <f t="shared" si="21"/>
        <v>918.99999999999818</v>
      </c>
    </row>
    <row r="48" spans="1:23" s="315" customFormat="1" ht="10.35" customHeight="1">
      <c r="A48" s="316" t="s">
        <v>1217</v>
      </c>
      <c r="B48" s="316"/>
      <c r="C48" s="88">
        <v>18282.099999999999</v>
      </c>
      <c r="D48" s="88">
        <v>29019.3</v>
      </c>
      <c r="E48" s="88">
        <f t="shared" si="8"/>
        <v>-10737.2</v>
      </c>
      <c r="F48" s="88">
        <v>2134.4</v>
      </c>
      <c r="G48" s="88">
        <v>4634.5</v>
      </c>
      <c r="H48" s="88">
        <f t="shared" si="9"/>
        <v>-2500.1</v>
      </c>
      <c r="I48" s="433">
        <v>37</v>
      </c>
      <c r="J48" s="433">
        <v>1317.5</v>
      </c>
      <c r="K48" s="433">
        <f t="shared" si="19"/>
        <v>-1280.5</v>
      </c>
      <c r="L48" s="433">
        <v>10.5</v>
      </c>
      <c r="M48" s="433">
        <v>10290.700000000001</v>
      </c>
      <c r="N48" s="433">
        <f t="shared" si="20"/>
        <v>10301.200000000001</v>
      </c>
      <c r="O48" s="432">
        <f t="shared" si="11"/>
        <v>-4216.6000000000004</v>
      </c>
      <c r="P48" s="452" t="s">
        <v>1217</v>
      </c>
      <c r="Q48" s="433">
        <v>140.19999999999999</v>
      </c>
      <c r="R48" s="433">
        <v>-917.6</v>
      </c>
      <c r="S48" s="433">
        <v>813.5</v>
      </c>
      <c r="T48" s="433">
        <v>-10866.2</v>
      </c>
      <c r="U48" s="433">
        <v>6769.7</v>
      </c>
      <c r="V48" s="432">
        <f t="shared" si="5"/>
        <v>-4200.6000000000013</v>
      </c>
      <c r="W48" s="88">
        <f t="shared" si="21"/>
        <v>-124.20000000000073</v>
      </c>
    </row>
    <row r="49" spans="1:23" s="315" customFormat="1" ht="10.35" customHeight="1">
      <c r="A49" s="558" t="s">
        <v>1218</v>
      </c>
      <c r="B49" s="558"/>
      <c r="C49" s="528">
        <v>21718.799999999999</v>
      </c>
      <c r="D49" s="528">
        <v>29641.4</v>
      </c>
      <c r="E49" s="528">
        <f t="shared" si="8"/>
        <v>-7922.6000000000022</v>
      </c>
      <c r="F49" s="528">
        <v>2027</v>
      </c>
      <c r="G49" s="528">
        <v>4823.6000000000004</v>
      </c>
      <c r="H49" s="528">
        <f t="shared" si="9"/>
        <v>-2796.6000000000004</v>
      </c>
      <c r="I49" s="521">
        <v>42.6</v>
      </c>
      <c r="J49" s="521">
        <v>2261</v>
      </c>
      <c r="K49" s="521">
        <f t="shared" si="19"/>
        <v>-2218.4</v>
      </c>
      <c r="L49" s="521">
        <v>26</v>
      </c>
      <c r="M49" s="521">
        <v>10538.5</v>
      </c>
      <c r="N49" s="521">
        <f t="shared" si="20"/>
        <v>10564.5</v>
      </c>
      <c r="O49" s="520">
        <f t="shared" si="11"/>
        <v>-2373.1000000000022</v>
      </c>
      <c r="P49" s="582" t="s">
        <v>1218</v>
      </c>
      <c r="Q49" s="521">
        <v>345.1</v>
      </c>
      <c r="R49" s="521">
        <v>-616.29999999999995</v>
      </c>
      <c r="S49" s="521">
        <v>-717.2</v>
      </c>
      <c r="T49" s="521">
        <v>765.7</v>
      </c>
      <c r="U49" s="521">
        <v>-2180.9</v>
      </c>
      <c r="V49" s="520">
        <f t="shared" si="5"/>
        <v>-2748.7</v>
      </c>
      <c r="W49" s="528">
        <f t="shared" si="21"/>
        <v>-720.69999999999754</v>
      </c>
    </row>
    <row r="50" spans="1:23" s="315" customFormat="1" ht="10.35" customHeight="1">
      <c r="A50" s="316" t="s">
        <v>1209</v>
      </c>
      <c r="B50" s="316"/>
      <c r="C50" s="88">
        <v>23330.799999999999</v>
      </c>
      <c r="D50" s="88">
        <v>27103.7</v>
      </c>
      <c r="E50" s="88">
        <f t="shared" si="8"/>
        <v>-3772.9000000000015</v>
      </c>
      <c r="F50" s="88">
        <v>2002.8</v>
      </c>
      <c r="G50" s="88">
        <v>5503.9</v>
      </c>
      <c r="H50" s="88">
        <f t="shared" si="9"/>
        <v>-3501.0999999999995</v>
      </c>
      <c r="I50" s="433">
        <v>51.7</v>
      </c>
      <c r="J50" s="433">
        <v>1680.4</v>
      </c>
      <c r="K50" s="433">
        <f t="shared" si="19"/>
        <v>-1628.7</v>
      </c>
      <c r="L50" s="433">
        <v>114.7</v>
      </c>
      <c r="M50" s="433">
        <v>11471.1</v>
      </c>
      <c r="N50" s="433">
        <f t="shared" si="20"/>
        <v>11585.800000000001</v>
      </c>
      <c r="O50" s="432">
        <f t="shared" si="11"/>
        <v>2683.1000000000004</v>
      </c>
      <c r="P50" s="452" t="s">
        <v>1209</v>
      </c>
      <c r="Q50" s="433">
        <v>997.1</v>
      </c>
      <c r="R50" s="433">
        <v>-825.6</v>
      </c>
      <c r="S50" s="433">
        <v>900.7</v>
      </c>
      <c r="T50" s="433">
        <v>-5964</v>
      </c>
      <c r="U50" s="433">
        <v>9793.4</v>
      </c>
      <c r="V50" s="432">
        <f t="shared" si="5"/>
        <v>3904.5</v>
      </c>
      <c r="W50" s="88">
        <f t="shared" si="21"/>
        <v>224.29999999999973</v>
      </c>
    </row>
    <row r="51" spans="1:23" s="315" customFormat="1" ht="10.35" customHeight="1">
      <c r="A51" s="559" t="s">
        <v>2633</v>
      </c>
      <c r="B51" s="558"/>
      <c r="C51" s="528"/>
      <c r="D51" s="528"/>
      <c r="E51" s="528"/>
      <c r="F51" s="528"/>
      <c r="G51" s="528"/>
      <c r="H51" s="528"/>
      <c r="I51" s="521"/>
      <c r="J51" s="521"/>
      <c r="K51" s="521"/>
      <c r="L51" s="521"/>
      <c r="M51" s="521"/>
      <c r="N51" s="521"/>
      <c r="O51" s="520"/>
      <c r="P51" s="559" t="s">
        <v>2633</v>
      </c>
      <c r="Q51" s="521"/>
      <c r="R51" s="521"/>
      <c r="S51" s="521"/>
      <c r="T51" s="521"/>
      <c r="U51" s="521"/>
      <c r="V51" s="520"/>
      <c r="W51" s="1337"/>
    </row>
    <row r="52" spans="1:23" s="315" customFormat="1" ht="11.25" customHeight="1">
      <c r="A52" s="316" t="s">
        <v>1211</v>
      </c>
      <c r="B52" s="316"/>
      <c r="C52" s="88">
        <v>20198.8</v>
      </c>
      <c r="D52" s="88">
        <v>21335.9</v>
      </c>
      <c r="E52" s="88">
        <f t="shared" ref="E52:E69" si="22">C52-D52</f>
        <v>-1137.1000000000022</v>
      </c>
      <c r="F52" s="88">
        <v>2041.3</v>
      </c>
      <c r="G52" s="88">
        <v>4277.7</v>
      </c>
      <c r="H52" s="88">
        <f t="shared" ref="H52:H69" si="23">F52-G52</f>
        <v>-2236.3999999999996</v>
      </c>
      <c r="I52" s="433">
        <v>46.8</v>
      </c>
      <c r="J52" s="433">
        <v>1924.7</v>
      </c>
      <c r="K52" s="433">
        <f t="shared" ref="K52:K69" si="24">I52-J52</f>
        <v>-1877.9</v>
      </c>
      <c r="L52" s="433">
        <v>2.2999999999999998</v>
      </c>
      <c r="M52" s="433">
        <v>11768.3</v>
      </c>
      <c r="N52" s="433">
        <f t="shared" ref="N52:N69" si="25">L52+M52</f>
        <v>11770.599999999999</v>
      </c>
      <c r="O52" s="432">
        <f t="shared" si="11"/>
        <v>6519.1999999999971</v>
      </c>
      <c r="P52" s="452" t="s">
        <v>1211</v>
      </c>
      <c r="Q52" s="433">
        <v>29.9</v>
      </c>
      <c r="R52" s="433">
        <v>-1757.9</v>
      </c>
      <c r="S52" s="433">
        <v>-171.2</v>
      </c>
      <c r="T52" s="433">
        <v>5098.5</v>
      </c>
      <c r="U52" s="433">
        <v>4321.5</v>
      </c>
      <c r="V52" s="432">
        <f t="shared" si="5"/>
        <v>7490.9</v>
      </c>
      <c r="W52" s="88">
        <f t="shared" si="21"/>
        <v>941.80000000000291</v>
      </c>
    </row>
    <row r="53" spans="1:23" s="315" customFormat="1" ht="11.25" customHeight="1">
      <c r="A53" s="558" t="s">
        <v>1212</v>
      </c>
      <c r="B53" s="558"/>
      <c r="C53" s="528">
        <v>21063.1</v>
      </c>
      <c r="D53" s="528">
        <v>25295.1</v>
      </c>
      <c r="E53" s="528">
        <f t="shared" si="22"/>
        <v>-4232</v>
      </c>
      <c r="F53" s="528">
        <v>1703.4</v>
      </c>
      <c r="G53" s="528">
        <v>4344.3</v>
      </c>
      <c r="H53" s="528">
        <f t="shared" si="23"/>
        <v>-2640.9</v>
      </c>
      <c r="I53" s="521">
        <v>50.9</v>
      </c>
      <c r="J53" s="521">
        <v>2169</v>
      </c>
      <c r="K53" s="521">
        <f t="shared" si="24"/>
        <v>-2118.1</v>
      </c>
      <c r="L53" s="521">
        <v>25.4</v>
      </c>
      <c r="M53" s="521">
        <v>9418.7000000000007</v>
      </c>
      <c r="N53" s="521">
        <f t="shared" si="25"/>
        <v>9444.1</v>
      </c>
      <c r="O53" s="520">
        <f t="shared" si="11"/>
        <v>453.10000000000036</v>
      </c>
      <c r="P53" s="582" t="s">
        <v>1212</v>
      </c>
      <c r="Q53" s="521">
        <v>337.8</v>
      </c>
      <c r="R53" s="521">
        <v>-898.1</v>
      </c>
      <c r="S53" s="521">
        <v>-384</v>
      </c>
      <c r="T53" s="521">
        <v>-2840</v>
      </c>
      <c r="U53" s="521">
        <v>5421</v>
      </c>
      <c r="V53" s="520">
        <f t="shared" si="5"/>
        <v>1298.8999999999996</v>
      </c>
      <c r="W53" s="528">
        <f t="shared" si="21"/>
        <v>507.99999999999932</v>
      </c>
    </row>
    <row r="54" spans="1:23" s="315" customFormat="1" ht="11.25" customHeight="1">
      <c r="A54" s="316" t="s">
        <v>1206</v>
      </c>
      <c r="B54" s="316"/>
      <c r="C54" s="88">
        <v>18177.599999999999</v>
      </c>
      <c r="D54" s="88">
        <v>25440.3</v>
      </c>
      <c r="E54" s="88">
        <f t="shared" si="22"/>
        <v>-7262.7000000000007</v>
      </c>
      <c r="F54" s="88">
        <v>2261.9</v>
      </c>
      <c r="G54" s="88">
        <v>5041.6000000000004</v>
      </c>
      <c r="H54" s="88">
        <f t="shared" si="23"/>
        <v>-2779.7000000000003</v>
      </c>
      <c r="I54" s="433">
        <v>102.4</v>
      </c>
      <c r="J54" s="433">
        <v>1760.7</v>
      </c>
      <c r="K54" s="433">
        <f t="shared" si="24"/>
        <v>-1658.3</v>
      </c>
      <c r="L54" s="433">
        <v>23.7</v>
      </c>
      <c r="M54" s="433">
        <v>10795.3</v>
      </c>
      <c r="N54" s="433">
        <f t="shared" si="25"/>
        <v>10819</v>
      </c>
      <c r="O54" s="432">
        <f t="shared" si="11"/>
        <v>-881.70000000000073</v>
      </c>
      <c r="P54" s="452" t="s">
        <v>1206</v>
      </c>
      <c r="Q54" s="433">
        <v>314.60000000000002</v>
      </c>
      <c r="R54" s="433">
        <v>-1029.5999999999999</v>
      </c>
      <c r="S54" s="433">
        <v>-386</v>
      </c>
      <c r="T54" s="433">
        <v>90</v>
      </c>
      <c r="U54" s="433">
        <v>1804.6</v>
      </c>
      <c r="V54" s="432">
        <f t="shared" si="5"/>
        <v>479</v>
      </c>
      <c r="W54" s="88">
        <f t="shared" si="21"/>
        <v>1046.1000000000008</v>
      </c>
    </row>
    <row r="55" spans="1:23" s="315" customFormat="1" ht="10.5" customHeight="1">
      <c r="A55" s="558" t="s">
        <v>1213</v>
      </c>
      <c r="B55" s="558"/>
      <c r="C55" s="528">
        <v>17370.8</v>
      </c>
      <c r="D55" s="528">
        <v>26495</v>
      </c>
      <c r="E55" s="528">
        <f t="shared" si="22"/>
        <v>-9124.2000000000007</v>
      </c>
      <c r="F55" s="528">
        <v>2069.4</v>
      </c>
      <c r="G55" s="528">
        <v>4982.6000000000004</v>
      </c>
      <c r="H55" s="528">
        <f t="shared" si="23"/>
        <v>-2913.2000000000003</v>
      </c>
      <c r="I55" s="521">
        <v>35.700000000000003</v>
      </c>
      <c r="J55" s="521">
        <v>1481.5</v>
      </c>
      <c r="K55" s="521">
        <f t="shared" si="24"/>
        <v>-1445.8</v>
      </c>
      <c r="L55" s="521">
        <v>94.3</v>
      </c>
      <c r="M55" s="521">
        <v>8842.4</v>
      </c>
      <c r="N55" s="521">
        <f t="shared" si="25"/>
        <v>8936.6999999999989</v>
      </c>
      <c r="O55" s="520">
        <f t="shared" si="11"/>
        <v>-4546.5000000000018</v>
      </c>
      <c r="P55" s="582" t="s">
        <v>1213</v>
      </c>
      <c r="Q55" s="521">
        <v>33</v>
      </c>
      <c r="R55" s="521">
        <v>-935.7</v>
      </c>
      <c r="S55" s="521">
        <v>-1199</v>
      </c>
      <c r="T55" s="521">
        <v>-8463</v>
      </c>
      <c r="U55" s="521">
        <v>5286.3</v>
      </c>
      <c r="V55" s="520">
        <f t="shared" si="5"/>
        <v>-5311.4000000000005</v>
      </c>
      <c r="W55" s="528">
        <f t="shared" si="21"/>
        <v>-797.89999999999873</v>
      </c>
    </row>
    <row r="56" spans="1:23" s="315" customFormat="1" ht="11.25" customHeight="1">
      <c r="A56" s="316" t="s">
        <v>1214</v>
      </c>
      <c r="B56" s="316"/>
      <c r="C56" s="88">
        <v>21209</v>
      </c>
      <c r="D56" s="88">
        <v>27560.400000000001</v>
      </c>
      <c r="E56" s="88">
        <f t="shared" si="22"/>
        <v>-6351.4000000000015</v>
      </c>
      <c r="F56" s="88">
        <v>2083.1999999999998</v>
      </c>
      <c r="G56" s="88">
        <v>4829.2</v>
      </c>
      <c r="H56" s="88">
        <f t="shared" si="23"/>
        <v>-2746</v>
      </c>
      <c r="I56" s="433">
        <v>41.8</v>
      </c>
      <c r="J56" s="433">
        <v>1455.5</v>
      </c>
      <c r="K56" s="433">
        <f t="shared" si="24"/>
        <v>-1413.7</v>
      </c>
      <c r="L56" s="433">
        <v>2.7</v>
      </c>
      <c r="M56" s="433">
        <v>9137.2999999999993</v>
      </c>
      <c r="N56" s="433">
        <f t="shared" si="25"/>
        <v>9140</v>
      </c>
      <c r="O56" s="432">
        <f>E56++H56+K56+N56</f>
        <v>-1371.1000000000022</v>
      </c>
      <c r="P56" s="316" t="s">
        <v>1214</v>
      </c>
      <c r="Q56" s="433">
        <v>36.200000000000003</v>
      </c>
      <c r="R56" s="433">
        <v>-730.4</v>
      </c>
      <c r="S56" s="433">
        <v>464.9</v>
      </c>
      <c r="T56" s="433">
        <v>3319.1</v>
      </c>
      <c r="U56" s="433">
        <v>-4065.1</v>
      </c>
      <c r="V56" s="432">
        <f t="shared" ref="V56:V69" si="26">R56+S56+T56+U56</f>
        <v>-1011.5</v>
      </c>
      <c r="W56" s="88">
        <f t="shared" ref="W56:W69" si="27">-(O56+Q56-V56)</f>
        <v>323.40000000000214</v>
      </c>
    </row>
    <row r="57" spans="1:23" s="315" customFormat="1" ht="11.25" customHeight="1">
      <c r="A57" s="558" t="s">
        <v>1207</v>
      </c>
      <c r="B57" s="558"/>
      <c r="C57" s="528">
        <v>24857.3</v>
      </c>
      <c r="D57" s="528">
        <v>25965.9</v>
      </c>
      <c r="E57" s="528">
        <f t="shared" si="22"/>
        <v>-1108.6000000000022</v>
      </c>
      <c r="F57" s="528">
        <v>2457.6</v>
      </c>
      <c r="G57" s="528">
        <v>4783.5</v>
      </c>
      <c r="H57" s="528">
        <f t="shared" si="23"/>
        <v>-2325.9</v>
      </c>
      <c r="I57" s="521">
        <v>37</v>
      </c>
      <c r="J57" s="521">
        <v>1528.8</v>
      </c>
      <c r="K57" s="521">
        <f t="shared" si="24"/>
        <v>-1491.8</v>
      </c>
      <c r="L57" s="521">
        <v>167</v>
      </c>
      <c r="M57" s="521">
        <v>10834</v>
      </c>
      <c r="N57" s="521">
        <f t="shared" si="25"/>
        <v>11001</v>
      </c>
      <c r="O57" s="520">
        <f>E57++H57+K57+N57</f>
        <v>6074.699999999998</v>
      </c>
      <c r="P57" s="558" t="s">
        <v>1207</v>
      </c>
      <c r="Q57" s="521">
        <v>898.9</v>
      </c>
      <c r="R57" s="521">
        <v>-774.9</v>
      </c>
      <c r="S57" s="521">
        <v>1664.9</v>
      </c>
      <c r="T57" s="521">
        <v>-3049.4</v>
      </c>
      <c r="U57" s="521">
        <v>8401.2999999999993</v>
      </c>
      <c r="V57" s="520">
        <f t="shared" si="26"/>
        <v>6241.9</v>
      </c>
      <c r="W57" s="528">
        <f t="shared" si="27"/>
        <v>-731.699999999998</v>
      </c>
    </row>
    <row r="58" spans="1:23" s="315" customFormat="1" ht="10.5" customHeight="1">
      <c r="A58" s="316" t="s">
        <v>1215</v>
      </c>
      <c r="B58" s="316"/>
      <c r="C58" s="88">
        <v>24012.6</v>
      </c>
      <c r="D58" s="88">
        <v>27112.400000000001</v>
      </c>
      <c r="E58" s="88">
        <f t="shared" si="22"/>
        <v>-3099.8000000000029</v>
      </c>
      <c r="F58" s="88">
        <v>2032.7</v>
      </c>
      <c r="G58" s="88">
        <v>5188.6000000000004</v>
      </c>
      <c r="H58" s="88">
        <f t="shared" si="23"/>
        <v>-3155.9000000000005</v>
      </c>
      <c r="I58" s="433">
        <v>72.5</v>
      </c>
      <c r="J58" s="433">
        <v>1453.6</v>
      </c>
      <c r="K58" s="433">
        <f t="shared" si="24"/>
        <v>-1381.1</v>
      </c>
      <c r="L58" s="433">
        <v>7.3</v>
      </c>
      <c r="M58" s="433">
        <v>9289.2999999999993</v>
      </c>
      <c r="N58" s="433">
        <f t="shared" si="25"/>
        <v>9296.5999999999985</v>
      </c>
      <c r="O58" s="432">
        <f>E58++H58+K58+N58</f>
        <v>1659.7999999999956</v>
      </c>
      <c r="P58" s="316" t="s">
        <v>1215</v>
      </c>
      <c r="Q58" s="433">
        <v>96.5</v>
      </c>
      <c r="R58" s="433">
        <v>-962.9</v>
      </c>
      <c r="S58" s="433">
        <v>-111.1</v>
      </c>
      <c r="T58" s="433">
        <v>3886.8</v>
      </c>
      <c r="U58" s="433">
        <v>-2348.1999999999998</v>
      </c>
      <c r="V58" s="432">
        <f t="shared" si="26"/>
        <v>464.60000000000036</v>
      </c>
      <c r="W58" s="88">
        <f t="shared" si="27"/>
        <v>-1291.6999999999953</v>
      </c>
    </row>
    <row r="59" spans="1:23" s="315" customFormat="1" ht="11.25" customHeight="1">
      <c r="A59" s="558" t="s">
        <v>1216</v>
      </c>
      <c r="B59" s="558"/>
      <c r="C59" s="528">
        <v>21902</v>
      </c>
      <c r="D59" s="528">
        <v>23647.7</v>
      </c>
      <c r="E59" s="528">
        <f t="shared" si="22"/>
        <v>-1745.7000000000007</v>
      </c>
      <c r="F59" s="528">
        <v>1943.8</v>
      </c>
      <c r="G59" s="528">
        <v>4815.8</v>
      </c>
      <c r="H59" s="528">
        <f t="shared" si="23"/>
        <v>-2872</v>
      </c>
      <c r="I59" s="521">
        <v>26.9</v>
      </c>
      <c r="J59" s="521">
        <v>1206.9000000000001</v>
      </c>
      <c r="K59" s="521">
        <f t="shared" si="24"/>
        <v>-1180</v>
      </c>
      <c r="L59" s="521">
        <v>11.6</v>
      </c>
      <c r="M59" s="521">
        <v>9035.6</v>
      </c>
      <c r="N59" s="521">
        <f t="shared" si="25"/>
        <v>9047.2000000000007</v>
      </c>
      <c r="O59" s="520">
        <f>E59++H59+K59+N59</f>
        <v>3249.5</v>
      </c>
      <c r="P59" s="558" t="s">
        <v>1216</v>
      </c>
      <c r="Q59" s="521">
        <v>154.1</v>
      </c>
      <c r="R59" s="521">
        <v>-1104.8</v>
      </c>
      <c r="S59" s="521">
        <v>24.2</v>
      </c>
      <c r="T59" s="521">
        <v>-3333.8</v>
      </c>
      <c r="U59" s="521">
        <v>6718.5</v>
      </c>
      <c r="V59" s="520">
        <f t="shared" si="26"/>
        <v>2304.1000000000004</v>
      </c>
      <c r="W59" s="528">
        <f t="shared" si="27"/>
        <v>-1099.4999999999995</v>
      </c>
    </row>
    <row r="60" spans="1:23" s="315" customFormat="1" ht="11.25" customHeight="1">
      <c r="A60" s="316" t="s">
        <v>1208</v>
      </c>
      <c r="B60" s="316"/>
      <c r="C60" s="88">
        <v>21778.5</v>
      </c>
      <c r="D60" s="88">
        <v>25651.9</v>
      </c>
      <c r="E60" s="88">
        <f t="shared" si="22"/>
        <v>-3873.4000000000015</v>
      </c>
      <c r="F60" s="88">
        <v>2655</v>
      </c>
      <c r="G60" s="88">
        <v>4438.2</v>
      </c>
      <c r="H60" s="88">
        <f t="shared" si="23"/>
        <v>-1783.1999999999998</v>
      </c>
      <c r="I60" s="433">
        <v>43</v>
      </c>
      <c r="J60" s="433">
        <v>1821.9</v>
      </c>
      <c r="K60" s="433">
        <f t="shared" si="24"/>
        <v>-1778.9</v>
      </c>
      <c r="L60" s="433">
        <v>35.299999999999997</v>
      </c>
      <c r="M60" s="433">
        <v>10558.7</v>
      </c>
      <c r="N60" s="433">
        <f t="shared" si="25"/>
        <v>10594</v>
      </c>
      <c r="O60" s="432">
        <f>E60+H60+K60+N60</f>
        <v>3158.4999999999982</v>
      </c>
      <c r="P60" s="316" t="s">
        <v>1208</v>
      </c>
      <c r="Q60" s="433">
        <v>469.1</v>
      </c>
      <c r="R60" s="433">
        <v>-746.1</v>
      </c>
      <c r="S60" s="433">
        <v>-104.2</v>
      </c>
      <c r="T60" s="433">
        <v>2908.7</v>
      </c>
      <c r="U60" s="433">
        <v>319</v>
      </c>
      <c r="V60" s="432">
        <f t="shared" si="26"/>
        <v>2377.3999999999996</v>
      </c>
      <c r="W60" s="88">
        <f t="shared" si="27"/>
        <v>-1250.1999999999985</v>
      </c>
    </row>
    <row r="61" spans="1:23" s="315" customFormat="1" ht="11.25" customHeight="1">
      <c r="A61" s="558" t="s">
        <v>1217</v>
      </c>
      <c r="B61" s="558"/>
      <c r="C61" s="528">
        <v>20658.599999999999</v>
      </c>
      <c r="D61" s="528">
        <v>24897.8</v>
      </c>
      <c r="E61" s="528">
        <f t="shared" si="22"/>
        <v>-4239.2000000000007</v>
      </c>
      <c r="F61" s="528">
        <v>2240.4</v>
      </c>
      <c r="G61" s="528">
        <v>4380.8</v>
      </c>
      <c r="H61" s="528">
        <f t="shared" si="23"/>
        <v>-2140.4</v>
      </c>
      <c r="I61" s="521">
        <v>33.5</v>
      </c>
      <c r="J61" s="521">
        <v>1832.4</v>
      </c>
      <c r="K61" s="521">
        <f t="shared" si="24"/>
        <v>-1798.9</v>
      </c>
      <c r="L61" s="521">
        <v>109.1</v>
      </c>
      <c r="M61" s="521">
        <v>9506.7000000000007</v>
      </c>
      <c r="N61" s="521">
        <f t="shared" si="25"/>
        <v>9615.8000000000011</v>
      </c>
      <c r="O61" s="520">
        <f>E61+H61+K61+N61</f>
        <v>1437.3000000000011</v>
      </c>
      <c r="P61" s="558" t="s">
        <v>1217</v>
      </c>
      <c r="Q61" s="521">
        <v>135.4</v>
      </c>
      <c r="R61" s="521">
        <v>-854.1</v>
      </c>
      <c r="S61" s="521">
        <v>561.79999999999995</v>
      </c>
      <c r="T61" s="521">
        <v>-3473.3</v>
      </c>
      <c r="U61" s="521">
        <v>6414.1</v>
      </c>
      <c r="V61" s="520">
        <f t="shared" si="26"/>
        <v>2648.5</v>
      </c>
      <c r="W61" s="528">
        <f t="shared" si="27"/>
        <v>1075.7999999999988</v>
      </c>
    </row>
    <row r="62" spans="1:23" s="315" customFormat="1" ht="11.25" customHeight="1">
      <c r="A62" s="316" t="s">
        <v>1218</v>
      </c>
      <c r="B62" s="316"/>
      <c r="C62" s="88">
        <v>22980.799999999999</v>
      </c>
      <c r="D62" s="88">
        <v>29941.599999999999</v>
      </c>
      <c r="E62" s="88">
        <f t="shared" si="22"/>
        <v>-6960.7999999999993</v>
      </c>
      <c r="F62" s="88">
        <v>2417.4</v>
      </c>
      <c r="G62" s="88">
        <v>5692.5</v>
      </c>
      <c r="H62" s="88">
        <f t="shared" si="23"/>
        <v>-3275.1</v>
      </c>
      <c r="I62" s="433">
        <v>47.7</v>
      </c>
      <c r="J62" s="433">
        <v>2365.9</v>
      </c>
      <c r="K62" s="433">
        <f t="shared" si="24"/>
        <v>-2318.2000000000003</v>
      </c>
      <c r="L62" s="433">
        <v>12.5</v>
      </c>
      <c r="M62" s="433">
        <v>9710.2000000000007</v>
      </c>
      <c r="N62" s="433">
        <f t="shared" si="25"/>
        <v>9722.7000000000007</v>
      </c>
      <c r="O62" s="432">
        <f>E62+H62+K62+N62</f>
        <v>-2831.3999999999996</v>
      </c>
      <c r="P62" s="316" t="s">
        <v>1218</v>
      </c>
      <c r="Q62" s="433">
        <v>165.8</v>
      </c>
      <c r="R62" s="433">
        <v>-943.3</v>
      </c>
      <c r="S62" s="433">
        <v>-544.79999999999995</v>
      </c>
      <c r="T62" s="433">
        <v>-382</v>
      </c>
      <c r="U62" s="433">
        <v>-1791.9</v>
      </c>
      <c r="V62" s="432">
        <f t="shared" si="26"/>
        <v>-3662</v>
      </c>
      <c r="W62" s="88">
        <f t="shared" si="27"/>
        <v>-996.40000000000055</v>
      </c>
    </row>
    <row r="63" spans="1:23" s="315" customFormat="1" ht="12" customHeight="1">
      <c r="A63" s="558" t="s">
        <v>1209</v>
      </c>
      <c r="B63" s="558"/>
      <c r="C63" s="528">
        <v>27611.1</v>
      </c>
      <c r="D63" s="528">
        <v>26935</v>
      </c>
      <c r="E63" s="528">
        <f t="shared" si="22"/>
        <v>676.09999999999854</v>
      </c>
      <c r="F63" s="528">
        <v>2790.6</v>
      </c>
      <c r="G63" s="528">
        <v>6125.6</v>
      </c>
      <c r="H63" s="528">
        <f t="shared" si="23"/>
        <v>-3335.0000000000005</v>
      </c>
      <c r="I63" s="521">
        <v>30.7</v>
      </c>
      <c r="J63" s="521">
        <v>2082.4</v>
      </c>
      <c r="K63" s="521">
        <f t="shared" si="24"/>
        <v>-2051.7000000000003</v>
      </c>
      <c r="L63" s="521">
        <v>91.6</v>
      </c>
      <c r="M63" s="521">
        <v>11429.1</v>
      </c>
      <c r="N63" s="521">
        <f t="shared" si="25"/>
        <v>11520.7</v>
      </c>
      <c r="O63" s="520">
        <f>E63+H63+K63+N63</f>
        <v>6810.0999999999985</v>
      </c>
      <c r="P63" s="558" t="s">
        <v>1209</v>
      </c>
      <c r="Q63" s="521">
        <v>515.5</v>
      </c>
      <c r="R63" s="521">
        <v>-967.4</v>
      </c>
      <c r="S63" s="521">
        <v>3357.3</v>
      </c>
      <c r="T63" s="521">
        <v>-7358.4</v>
      </c>
      <c r="U63" s="521">
        <v>11021.4</v>
      </c>
      <c r="V63" s="520">
        <f t="shared" si="26"/>
        <v>6052.9</v>
      </c>
      <c r="W63" s="528">
        <f t="shared" si="27"/>
        <v>-1272.6999999999989</v>
      </c>
    </row>
    <row r="64" spans="1:23" s="315" customFormat="1" ht="12" customHeight="1">
      <c r="A64" s="328" t="s">
        <v>2880</v>
      </c>
      <c r="B64" s="316"/>
      <c r="C64" s="88"/>
      <c r="D64" s="88"/>
      <c r="E64" s="88"/>
      <c r="F64" s="88"/>
      <c r="G64" s="88"/>
      <c r="H64" s="88"/>
      <c r="I64" s="433"/>
      <c r="J64" s="433"/>
      <c r="K64" s="433"/>
      <c r="L64" s="433"/>
      <c r="M64" s="433"/>
      <c r="N64" s="433"/>
      <c r="O64" s="432"/>
      <c r="P64" s="328" t="s">
        <v>2880</v>
      </c>
      <c r="Q64" s="433"/>
      <c r="R64" s="433"/>
      <c r="S64" s="433"/>
      <c r="T64" s="433"/>
      <c r="U64" s="433"/>
      <c r="V64" s="432"/>
      <c r="W64" s="88"/>
    </row>
    <row r="65" spans="1:23" s="315" customFormat="1" ht="12" customHeight="1">
      <c r="A65" s="558" t="s">
        <v>1211</v>
      </c>
      <c r="B65" s="558"/>
      <c r="C65" s="528">
        <v>19493.900000000001</v>
      </c>
      <c r="D65" s="528">
        <v>20765.5</v>
      </c>
      <c r="E65" s="528">
        <f t="shared" si="22"/>
        <v>-1271.5999999999985</v>
      </c>
      <c r="F65" s="528">
        <v>1827.3</v>
      </c>
      <c r="G65" s="528">
        <v>4457.7</v>
      </c>
      <c r="H65" s="528">
        <f t="shared" si="23"/>
        <v>-2630.3999999999996</v>
      </c>
      <c r="I65" s="521">
        <v>27.3</v>
      </c>
      <c r="J65" s="521">
        <v>1764.1</v>
      </c>
      <c r="K65" s="521">
        <f t="shared" si="24"/>
        <v>-1736.8</v>
      </c>
      <c r="L65" s="521">
        <v>0.8</v>
      </c>
      <c r="M65" s="521">
        <v>8102.6</v>
      </c>
      <c r="N65" s="521">
        <f t="shared" si="25"/>
        <v>8103.4000000000005</v>
      </c>
      <c r="O65" s="520">
        <f>E65+H65+K65+N65</f>
        <v>2464.6000000000022</v>
      </c>
      <c r="P65" s="558" t="s">
        <v>1211</v>
      </c>
      <c r="Q65" s="521">
        <v>10.8</v>
      </c>
      <c r="R65" s="521">
        <v>-952.1</v>
      </c>
      <c r="S65" s="521">
        <v>-226.3</v>
      </c>
      <c r="T65" s="521">
        <v>5911.2</v>
      </c>
      <c r="U65" s="521">
        <v>-1132.9000000000001</v>
      </c>
      <c r="V65" s="520">
        <f t="shared" si="26"/>
        <v>3599.8999999999992</v>
      </c>
      <c r="W65" s="528">
        <f t="shared" si="27"/>
        <v>1124.4999999999968</v>
      </c>
    </row>
    <row r="66" spans="1:23" s="315" customFormat="1" ht="12" customHeight="1">
      <c r="A66" s="316" t="s">
        <v>1212</v>
      </c>
      <c r="B66" s="316"/>
      <c r="C66" s="88">
        <v>25275.4</v>
      </c>
      <c r="D66" s="88">
        <v>26798.5</v>
      </c>
      <c r="E66" s="88">
        <f t="shared" si="22"/>
        <v>-1523.0999999999985</v>
      </c>
      <c r="F66" s="88">
        <v>2379.6</v>
      </c>
      <c r="G66" s="88">
        <v>5434.1</v>
      </c>
      <c r="H66" s="88">
        <f t="shared" si="23"/>
        <v>-3054.5000000000005</v>
      </c>
      <c r="I66" s="433">
        <v>48.8</v>
      </c>
      <c r="J66" s="433">
        <v>2158.4</v>
      </c>
      <c r="K66" s="433">
        <f t="shared" si="24"/>
        <v>-2109.6</v>
      </c>
      <c r="L66" s="433">
        <v>13.4</v>
      </c>
      <c r="M66" s="433">
        <v>9490.5</v>
      </c>
      <c r="N66" s="433">
        <f t="shared" si="25"/>
        <v>9503.9</v>
      </c>
      <c r="O66" s="432">
        <f>E66+H66+K66+N66</f>
        <v>2816.7000000000007</v>
      </c>
      <c r="P66" s="316" t="s">
        <v>1212</v>
      </c>
      <c r="Q66" s="433">
        <v>178.6</v>
      </c>
      <c r="R66" s="433">
        <v>-2224.1</v>
      </c>
      <c r="S66" s="433">
        <v>-422.8</v>
      </c>
      <c r="T66" s="433">
        <v>-2420.6</v>
      </c>
      <c r="U66" s="433">
        <v>7342.8</v>
      </c>
      <c r="V66" s="432">
        <f t="shared" si="26"/>
        <v>2275.3000000000002</v>
      </c>
      <c r="W66" s="88">
        <f t="shared" si="27"/>
        <v>-720.00000000000045</v>
      </c>
    </row>
    <row r="67" spans="1:23" s="315" customFormat="1" ht="12" customHeight="1">
      <c r="A67" s="558" t="s">
        <v>1206</v>
      </c>
      <c r="B67" s="558"/>
      <c r="C67" s="528">
        <v>17236.599999999999</v>
      </c>
      <c r="D67" s="528">
        <v>24926.6</v>
      </c>
      <c r="E67" s="528">
        <f t="shared" si="22"/>
        <v>-7690</v>
      </c>
      <c r="F67" s="528">
        <v>2508</v>
      </c>
      <c r="G67" s="528">
        <v>5044.6000000000004</v>
      </c>
      <c r="H67" s="528">
        <f t="shared" si="23"/>
        <v>-2536.6000000000004</v>
      </c>
      <c r="I67" s="521">
        <v>32.200000000000003</v>
      </c>
      <c r="J67" s="521">
        <v>1935.1</v>
      </c>
      <c r="K67" s="521">
        <f t="shared" si="24"/>
        <v>-1902.8999999999999</v>
      </c>
      <c r="L67" s="521">
        <v>23.7</v>
      </c>
      <c r="M67" s="521">
        <v>9009.4</v>
      </c>
      <c r="N67" s="521">
        <f t="shared" si="25"/>
        <v>9033.1</v>
      </c>
      <c r="O67" s="520">
        <f>E67+H67+K67+N67</f>
        <v>-3096.3999999999996</v>
      </c>
      <c r="P67" s="558" t="s">
        <v>1206</v>
      </c>
      <c r="Q67" s="521">
        <v>314.60000000000002</v>
      </c>
      <c r="R67" s="521">
        <v>-965.1</v>
      </c>
      <c r="S67" s="521">
        <v>206</v>
      </c>
      <c r="T67" s="521">
        <v>-2112.8000000000002</v>
      </c>
      <c r="U67" s="521">
        <v>1535.3</v>
      </c>
      <c r="V67" s="520">
        <f t="shared" si="26"/>
        <v>-1336.6000000000001</v>
      </c>
      <c r="W67" s="528">
        <f t="shared" si="27"/>
        <v>1445.1999999999996</v>
      </c>
    </row>
    <row r="68" spans="1:23" s="315" customFormat="1" ht="12" customHeight="1">
      <c r="A68" s="316" t="s">
        <v>1213</v>
      </c>
      <c r="B68" s="316"/>
      <c r="C68" s="88">
        <v>20664.7</v>
      </c>
      <c r="D68" s="88">
        <v>29116.2</v>
      </c>
      <c r="E68" s="88">
        <f t="shared" si="22"/>
        <v>-8451.5</v>
      </c>
      <c r="F68" s="88">
        <v>2203.6</v>
      </c>
      <c r="G68" s="88">
        <v>5478.5</v>
      </c>
      <c r="H68" s="88">
        <f t="shared" si="23"/>
        <v>-3274.9</v>
      </c>
      <c r="I68" s="433">
        <v>27.9</v>
      </c>
      <c r="J68" s="433">
        <v>1526.3</v>
      </c>
      <c r="K68" s="433">
        <f t="shared" si="24"/>
        <v>-1498.3999999999999</v>
      </c>
      <c r="L68" s="433">
        <v>94.3</v>
      </c>
      <c r="M68" s="433">
        <v>8235.2999999999993</v>
      </c>
      <c r="N68" s="433">
        <f t="shared" si="25"/>
        <v>8329.5999999999985</v>
      </c>
      <c r="O68" s="432">
        <f>E68+H68+K68+N68</f>
        <v>-4895.2000000000007</v>
      </c>
      <c r="P68" s="316" t="s">
        <v>1213</v>
      </c>
      <c r="Q68" s="433">
        <v>33</v>
      </c>
      <c r="R68" s="433">
        <v>-3013</v>
      </c>
      <c r="S68" s="433">
        <v>-2262.3000000000002</v>
      </c>
      <c r="T68" s="433">
        <v>-6249.2</v>
      </c>
      <c r="U68" s="433">
        <v>5320</v>
      </c>
      <c r="V68" s="432">
        <f t="shared" si="26"/>
        <v>-6204.5</v>
      </c>
      <c r="W68" s="88">
        <f t="shared" si="27"/>
        <v>-1342.2999999999993</v>
      </c>
    </row>
    <row r="69" spans="1:23" s="315" customFormat="1" ht="12" customHeight="1" thickBot="1">
      <c r="A69" s="1575" t="s">
        <v>1214</v>
      </c>
      <c r="B69" s="1575"/>
      <c r="C69" s="1573">
        <v>22092</v>
      </c>
      <c r="D69" s="1573">
        <v>29850.9</v>
      </c>
      <c r="E69" s="1573">
        <f t="shared" si="22"/>
        <v>-7758.9000000000015</v>
      </c>
      <c r="F69" s="1573">
        <v>2253.1</v>
      </c>
      <c r="G69" s="1573">
        <v>6244.7</v>
      </c>
      <c r="H69" s="1573">
        <f t="shared" si="23"/>
        <v>-3991.6</v>
      </c>
      <c r="I69" s="1569">
        <v>37.1</v>
      </c>
      <c r="J69" s="1569">
        <v>1663.5</v>
      </c>
      <c r="K69" s="1569">
        <f t="shared" si="24"/>
        <v>-1626.4</v>
      </c>
      <c r="L69" s="1569">
        <v>2.6</v>
      </c>
      <c r="M69" s="1569">
        <v>7841.4</v>
      </c>
      <c r="N69" s="1569">
        <f t="shared" si="25"/>
        <v>7844</v>
      </c>
      <c r="O69" s="1567">
        <f>E69+H69+K69+N69</f>
        <v>-5532.9000000000015</v>
      </c>
      <c r="P69" s="1575" t="s">
        <v>1214</v>
      </c>
      <c r="Q69" s="1569">
        <v>34.5</v>
      </c>
      <c r="R69" s="1569">
        <v>-1074</v>
      </c>
      <c r="S69" s="1569">
        <v>-734.4</v>
      </c>
      <c r="T69" s="1569">
        <v>-160.5</v>
      </c>
      <c r="U69" s="1569">
        <v>-2645.4</v>
      </c>
      <c r="V69" s="1567">
        <f t="shared" si="26"/>
        <v>-4614.3</v>
      </c>
      <c r="W69" s="1573">
        <f t="shared" si="27"/>
        <v>884.10000000000127</v>
      </c>
    </row>
    <row r="70" spans="1:23" s="315" customFormat="1" ht="11.1" customHeight="1">
      <c r="A70" s="329" t="s">
        <v>535</v>
      </c>
      <c r="B70" s="329" t="s">
        <v>471</v>
      </c>
      <c r="C70" s="1840" t="s">
        <v>2532</v>
      </c>
      <c r="D70" s="1840"/>
      <c r="E70" s="1840"/>
      <c r="F70" s="1840"/>
      <c r="G70" s="1840"/>
      <c r="H70" s="1840"/>
      <c r="I70" s="330" t="s">
        <v>32</v>
      </c>
      <c r="J70" s="1834" t="s">
        <v>534</v>
      </c>
      <c r="K70" s="1834"/>
      <c r="L70" s="1834"/>
      <c r="M70" s="1834"/>
      <c r="N70" s="331"/>
      <c r="O70" s="331"/>
      <c r="P70" s="168" t="s">
        <v>1577</v>
      </c>
      <c r="Q70" s="332" t="s">
        <v>1962</v>
      </c>
      <c r="R70" s="332"/>
      <c r="S70" s="332"/>
      <c r="T70" s="332"/>
      <c r="U70" s="332"/>
      <c r="V70" s="332"/>
      <c r="W70" s="332"/>
    </row>
    <row r="71" spans="1:23" s="317" customFormat="1" ht="11.1" customHeight="1">
      <c r="A71" s="315"/>
      <c r="B71" s="315"/>
      <c r="C71" s="420" t="s">
        <v>1963</v>
      </c>
      <c r="D71" s="315"/>
      <c r="E71" s="315"/>
      <c r="F71" s="315"/>
      <c r="G71" s="315"/>
      <c r="H71" s="315"/>
      <c r="I71" s="315"/>
      <c r="J71" s="315"/>
      <c r="K71" s="315"/>
      <c r="L71" s="315"/>
      <c r="M71" s="315"/>
      <c r="N71" s="315"/>
      <c r="O71" s="315"/>
      <c r="P71" s="315"/>
      <c r="Q71" s="332" t="s">
        <v>1961</v>
      </c>
      <c r="R71" s="332"/>
      <c r="S71" s="332"/>
      <c r="T71" s="332"/>
      <c r="U71" s="332"/>
      <c r="V71" s="332"/>
      <c r="W71" s="332"/>
    </row>
    <row r="72" spans="1:23" s="317" customFormat="1">
      <c r="C72" s="332" t="s">
        <v>766</v>
      </c>
      <c r="Q72" s="332" t="s">
        <v>766</v>
      </c>
    </row>
    <row r="73" spans="1:23" s="317" customFormat="1">
      <c r="R73" s="860"/>
    </row>
    <row r="74" spans="1:23" s="317" customFormat="1">
      <c r="H74" s="333"/>
    </row>
    <row r="75" spans="1:23" s="317" customFormat="1" hidden="1">
      <c r="C75" s="317" t="e">
        <f>#REF!-C85</f>
        <v>#REF!</v>
      </c>
      <c r="D75" s="317" t="e">
        <f>#REF!-D85</f>
        <v>#REF!</v>
      </c>
      <c r="F75" s="317" t="e">
        <f>#REF!-F85</f>
        <v>#REF!</v>
      </c>
      <c r="G75" s="317" t="e">
        <f>#REF!-G85</f>
        <v>#REF!</v>
      </c>
      <c r="I75" s="317" t="e">
        <f>#REF!-I85</f>
        <v>#REF!</v>
      </c>
      <c r="J75" s="317" t="e">
        <f>#REF!-J85</f>
        <v>#REF!</v>
      </c>
      <c r="L75" s="317" t="e">
        <f>#REF!-L85</f>
        <v>#REF!</v>
      </c>
      <c r="M75" s="317" t="e">
        <f>#REF!-M85</f>
        <v>#REF!</v>
      </c>
      <c r="Q75" s="317" t="e">
        <f>#REF!-Q85</f>
        <v>#REF!</v>
      </c>
      <c r="R75" s="317" t="e">
        <f>#REF!-R85</f>
        <v>#REF!</v>
      </c>
      <c r="S75" s="317" t="e">
        <f>#REF!-S85</f>
        <v>#REF!</v>
      </c>
      <c r="T75" s="317" t="e">
        <f>#REF!-T85</f>
        <v>#REF!</v>
      </c>
      <c r="U75" s="317" t="e">
        <f>#REF!-U85</f>
        <v>#REF!</v>
      </c>
      <c r="W75" s="317" t="e">
        <f>#REF!-W85</f>
        <v>#REF!</v>
      </c>
    </row>
    <row r="76" spans="1:23" s="317" customFormat="1" hidden="1">
      <c r="C76" s="317" t="e">
        <f>#REF!-C86</f>
        <v>#REF!</v>
      </c>
      <c r="D76" s="317" t="e">
        <f>#REF!-D86</f>
        <v>#REF!</v>
      </c>
      <c r="F76" s="317" t="e">
        <f>#REF!-F86</f>
        <v>#REF!</v>
      </c>
      <c r="G76" s="317" t="e">
        <f>#REF!-G86</f>
        <v>#REF!</v>
      </c>
      <c r="I76" s="317" t="e">
        <f>#REF!-I86</f>
        <v>#REF!</v>
      </c>
      <c r="J76" s="317" t="e">
        <f>#REF!-J86</f>
        <v>#REF!</v>
      </c>
      <c r="L76" s="317" t="e">
        <f>#REF!-L86</f>
        <v>#REF!</v>
      </c>
      <c r="M76" s="317" t="e">
        <f>#REF!-M86</f>
        <v>#REF!</v>
      </c>
      <c r="Q76" s="317" t="e">
        <f>#REF!-Q86</f>
        <v>#REF!</v>
      </c>
      <c r="R76" s="317" t="e">
        <f>#REF!-R86</f>
        <v>#REF!</v>
      </c>
      <c r="S76" s="317" t="e">
        <f>#REF!-S86</f>
        <v>#REF!</v>
      </c>
      <c r="T76" s="317" t="e">
        <f>#REF!-T86</f>
        <v>#REF!</v>
      </c>
      <c r="U76" s="317" t="e">
        <f>#REF!-U86</f>
        <v>#REF!</v>
      </c>
      <c r="W76" s="317" t="e">
        <f>#REF!-W86</f>
        <v>#REF!</v>
      </c>
    </row>
    <row r="77" spans="1:23" s="317" customFormat="1" hidden="1">
      <c r="C77" s="333" t="e">
        <f>#REF!-C87</f>
        <v>#REF!</v>
      </c>
      <c r="D77" s="333" t="e">
        <f>#REF!-D87</f>
        <v>#REF!</v>
      </c>
      <c r="E77" s="333"/>
      <c r="F77" s="333" t="e">
        <f>#REF!-F87</f>
        <v>#REF!</v>
      </c>
      <c r="G77" s="333" t="e">
        <f>#REF!-G87</f>
        <v>#REF!</v>
      </c>
      <c r="H77" s="333"/>
      <c r="I77" s="333" t="e">
        <f>#REF!-I87</f>
        <v>#REF!</v>
      </c>
      <c r="J77" s="333" t="e">
        <f>#REF!-J87</f>
        <v>#REF!</v>
      </c>
      <c r="K77" s="333"/>
      <c r="L77" s="333" t="e">
        <f>#REF!-L87</f>
        <v>#REF!</v>
      </c>
      <c r="M77" s="333" t="e">
        <f>#REF!-M87</f>
        <v>#REF!</v>
      </c>
      <c r="N77" s="333"/>
      <c r="O77" s="333"/>
      <c r="P77" s="333"/>
      <c r="Q77" s="333" t="e">
        <f>#REF!-Q87</f>
        <v>#REF!</v>
      </c>
      <c r="R77" s="333" t="e">
        <f>#REF!-R87</f>
        <v>#REF!</v>
      </c>
      <c r="S77" s="333" t="e">
        <f>#REF!-S87</f>
        <v>#REF!</v>
      </c>
      <c r="T77" s="333" t="e">
        <f>#REF!-T87</f>
        <v>#REF!</v>
      </c>
      <c r="U77" s="333" t="e">
        <f>#REF!-U87</f>
        <v>#REF!</v>
      </c>
      <c r="V77" s="333"/>
      <c r="W77" s="333" t="e">
        <f>#REF!-W87</f>
        <v>#REF!</v>
      </c>
    </row>
    <row r="78" spans="1:23" s="317" customFormat="1" hidden="1">
      <c r="C78" s="317" t="e">
        <f>#REF!-C88</f>
        <v>#REF!</v>
      </c>
      <c r="D78" s="317" t="e">
        <f>#REF!-D88</f>
        <v>#REF!</v>
      </c>
      <c r="F78" s="317" t="e">
        <f>#REF!-F88</f>
        <v>#REF!</v>
      </c>
      <c r="G78" s="317" t="e">
        <f>#REF!-G88</f>
        <v>#REF!</v>
      </c>
      <c r="I78" s="317" t="e">
        <f>#REF!-I88</f>
        <v>#REF!</v>
      </c>
      <c r="J78" s="317" t="e">
        <f>#REF!-J88</f>
        <v>#REF!</v>
      </c>
      <c r="L78" s="317" t="e">
        <f>#REF!-L88</f>
        <v>#REF!</v>
      </c>
      <c r="M78" s="317" t="e">
        <f>#REF!-M88</f>
        <v>#REF!</v>
      </c>
      <c r="Q78" s="317" t="e">
        <f>#REF!-Q88</f>
        <v>#REF!</v>
      </c>
      <c r="R78" s="317" t="e">
        <f>#REF!-R88</f>
        <v>#REF!</v>
      </c>
      <c r="S78" s="317" t="e">
        <f>#REF!-S88</f>
        <v>#REF!</v>
      </c>
      <c r="T78" s="317" t="e">
        <f>#REF!-T88</f>
        <v>#REF!</v>
      </c>
      <c r="U78" s="317" t="e">
        <f>#REF!-U88</f>
        <v>#REF!</v>
      </c>
      <c r="W78" s="333" t="e">
        <f>#REF!-W88</f>
        <v>#REF!</v>
      </c>
    </row>
    <row r="79" spans="1:23" s="317" customFormat="1">
      <c r="H79" s="333"/>
    </row>
    <row r="80" spans="1:23" s="317" customFormat="1" hidden="1">
      <c r="C80" s="317">
        <v>267681</v>
      </c>
      <c r="D80" s="317">
        <v>318630</v>
      </c>
      <c r="F80" s="317">
        <v>33556</v>
      </c>
      <c r="G80" s="317">
        <v>55251</v>
      </c>
      <c r="I80" s="317">
        <v>707</v>
      </c>
      <c r="J80" s="317">
        <v>24408</v>
      </c>
      <c r="L80" s="317">
        <v>3133</v>
      </c>
      <c r="M80" s="317">
        <v>193213</v>
      </c>
      <c r="N80" s="317">
        <v>196346</v>
      </c>
      <c r="Q80" s="317">
        <v>8718</v>
      </c>
      <c r="R80" s="317">
        <v>11838</v>
      </c>
      <c r="S80" s="317">
        <v>5781</v>
      </c>
      <c r="T80" s="317">
        <v>28060</v>
      </c>
      <c r="U80" s="317">
        <v>-126641</v>
      </c>
      <c r="W80" s="317">
        <v>-27757</v>
      </c>
    </row>
    <row r="81" spans="3:23" s="317" customFormat="1" hidden="1">
      <c r="C81" s="317">
        <v>235690</v>
      </c>
      <c r="D81" s="317">
        <v>375580</v>
      </c>
      <c r="F81" s="317">
        <v>42693</v>
      </c>
      <c r="G81" s="317">
        <v>68829</v>
      </c>
      <c r="I81" s="317">
        <v>816</v>
      </c>
      <c r="J81" s="317">
        <v>25480</v>
      </c>
      <c r="L81" s="317">
        <v>3020</v>
      </c>
      <c r="M81" s="317">
        <v>202431</v>
      </c>
      <c r="N81" s="317">
        <v>205451</v>
      </c>
      <c r="Q81" s="317">
        <v>7961</v>
      </c>
      <c r="R81" s="317">
        <v>11838</v>
      </c>
      <c r="S81" s="317">
        <v>837</v>
      </c>
      <c r="T81" s="317">
        <v>59265</v>
      </c>
      <c r="U81" s="317">
        <v>-67165</v>
      </c>
      <c r="W81" s="317">
        <v>-27497</v>
      </c>
    </row>
    <row r="82" spans="3:23" s="317" customFormat="1" hidden="1">
      <c r="C82" s="317">
        <v>296006</v>
      </c>
      <c r="D82" s="317">
        <v>376562</v>
      </c>
      <c r="F82" s="317">
        <v>32269</v>
      </c>
      <c r="G82" s="317">
        <v>62942</v>
      </c>
      <c r="I82" s="317">
        <v>1407</v>
      </c>
      <c r="J82" s="317">
        <v>23488</v>
      </c>
      <c r="L82" s="317">
        <v>1617</v>
      </c>
      <c r="M82" s="317">
        <v>192802</v>
      </c>
      <c r="N82" s="317">
        <v>194419</v>
      </c>
      <c r="Q82" s="317">
        <v>5398</v>
      </c>
      <c r="R82" s="317">
        <v>19745</v>
      </c>
      <c r="S82" s="317">
        <v>-7643</v>
      </c>
      <c r="T82" s="317">
        <v>-81318</v>
      </c>
      <c r="U82" s="317">
        <v>1980</v>
      </c>
      <c r="W82" s="317">
        <v>729</v>
      </c>
    </row>
    <row r="83" spans="3:23" s="317" customFormat="1" hidden="1">
      <c r="C83" s="317">
        <v>324074</v>
      </c>
      <c r="D83" s="317">
        <v>409058</v>
      </c>
      <c r="F83" s="317">
        <v>46016</v>
      </c>
      <c r="G83" s="317">
        <v>70086</v>
      </c>
      <c r="I83" s="317">
        <v>2587</v>
      </c>
      <c r="J83" s="317">
        <v>32288</v>
      </c>
      <c r="L83" s="317">
        <v>878</v>
      </c>
      <c r="M83" s="317">
        <v>191567</v>
      </c>
      <c r="N83" s="317">
        <v>192445</v>
      </c>
      <c r="Q83" s="317">
        <v>11659</v>
      </c>
      <c r="R83" s="317">
        <v>19743</v>
      </c>
      <c r="S83" s="317">
        <v>-19270</v>
      </c>
      <c r="T83" s="317">
        <v>-14214</v>
      </c>
      <c r="U83" s="317">
        <v>-56317</v>
      </c>
      <c r="W83" s="317">
        <v>4709</v>
      </c>
    </row>
    <row r="84" spans="3:23" s="317" customFormat="1"/>
    <row r="85" spans="3:23" s="317" customFormat="1" hidden="1">
      <c r="C85" s="317">
        <f>C80/10</f>
        <v>26768.1</v>
      </c>
      <c r="D85" s="317">
        <f>D80/10</f>
        <v>31863</v>
      </c>
      <c r="F85" s="317">
        <f t="shared" ref="D85:W88" si="28">F80/10</f>
        <v>3355.6</v>
      </c>
      <c r="G85" s="317">
        <f t="shared" si="28"/>
        <v>5525.1</v>
      </c>
      <c r="I85" s="317">
        <f t="shared" si="28"/>
        <v>70.7</v>
      </c>
      <c r="J85" s="317">
        <f t="shared" si="28"/>
        <v>2440.8000000000002</v>
      </c>
      <c r="L85" s="317">
        <f t="shared" si="28"/>
        <v>313.3</v>
      </c>
      <c r="M85" s="317">
        <f t="shared" si="28"/>
        <v>19321.3</v>
      </c>
      <c r="N85" s="317">
        <f t="shared" si="28"/>
        <v>19634.599999999999</v>
      </c>
      <c r="Q85" s="317">
        <f t="shared" si="28"/>
        <v>871.8</v>
      </c>
      <c r="R85" s="317">
        <f t="shared" si="28"/>
        <v>1183.8</v>
      </c>
      <c r="S85" s="317">
        <f t="shared" si="28"/>
        <v>578.1</v>
      </c>
      <c r="T85" s="317">
        <f t="shared" si="28"/>
        <v>2806</v>
      </c>
      <c r="U85" s="317">
        <f t="shared" si="28"/>
        <v>-12664.1</v>
      </c>
      <c r="W85" s="317">
        <f t="shared" si="28"/>
        <v>-2775.7</v>
      </c>
    </row>
    <row r="86" spans="3:23" s="317" customFormat="1" hidden="1">
      <c r="C86" s="317">
        <f>C81/10</f>
        <v>23569</v>
      </c>
      <c r="D86" s="317">
        <f>D81/10</f>
        <v>37558</v>
      </c>
      <c r="F86" s="317">
        <f>F81/10</f>
        <v>4269.3</v>
      </c>
      <c r="G86" s="317">
        <f>G81/10</f>
        <v>6882.9</v>
      </c>
      <c r="I86" s="317">
        <f>I81/10</f>
        <v>81.599999999999994</v>
      </c>
      <c r="J86" s="317">
        <f>J81/10</f>
        <v>2548</v>
      </c>
      <c r="L86" s="317">
        <f>L81/10</f>
        <v>302</v>
      </c>
      <c r="M86" s="317">
        <f>M81/10</f>
        <v>20243.099999999999</v>
      </c>
      <c r="N86" s="317">
        <f>N81/10</f>
        <v>20545.099999999999</v>
      </c>
      <c r="Q86" s="317">
        <f>Q81/10</f>
        <v>796.1</v>
      </c>
      <c r="R86" s="317">
        <f>R81/10</f>
        <v>1183.8</v>
      </c>
      <c r="S86" s="317">
        <f t="shared" si="28"/>
        <v>83.7</v>
      </c>
      <c r="T86" s="317">
        <f t="shared" si="28"/>
        <v>5926.5</v>
      </c>
      <c r="U86" s="317">
        <f t="shared" si="28"/>
        <v>-6716.5</v>
      </c>
      <c r="W86" s="317">
        <f t="shared" si="28"/>
        <v>-2749.7</v>
      </c>
    </row>
    <row r="87" spans="3:23" s="317" customFormat="1" hidden="1">
      <c r="C87" s="317">
        <f>C82/10</f>
        <v>29600.6</v>
      </c>
      <c r="D87" s="317">
        <f t="shared" si="28"/>
        <v>37656.199999999997</v>
      </c>
      <c r="F87" s="317">
        <f t="shared" si="28"/>
        <v>3226.9</v>
      </c>
      <c r="G87" s="317">
        <f t="shared" si="28"/>
        <v>6294.2</v>
      </c>
      <c r="I87" s="317">
        <f t="shared" si="28"/>
        <v>140.69999999999999</v>
      </c>
      <c r="J87" s="317">
        <f t="shared" si="28"/>
        <v>2348.8000000000002</v>
      </c>
      <c r="L87" s="317">
        <f t="shared" si="28"/>
        <v>161.69999999999999</v>
      </c>
      <c r="M87" s="317">
        <f t="shared" si="28"/>
        <v>19280.2</v>
      </c>
      <c r="N87" s="317">
        <f t="shared" si="28"/>
        <v>19441.900000000001</v>
      </c>
      <c r="Q87" s="317">
        <f t="shared" si="28"/>
        <v>539.79999999999995</v>
      </c>
      <c r="R87" s="317">
        <f t="shared" si="28"/>
        <v>1974.5</v>
      </c>
      <c r="S87" s="317">
        <f t="shared" si="28"/>
        <v>-764.3</v>
      </c>
      <c r="T87" s="317">
        <f t="shared" si="28"/>
        <v>-8131.8</v>
      </c>
      <c r="U87" s="317">
        <f t="shared" si="28"/>
        <v>198</v>
      </c>
      <c r="W87" s="317">
        <f t="shared" si="28"/>
        <v>72.900000000000006</v>
      </c>
    </row>
    <row r="88" spans="3:23" s="317" customFormat="1" hidden="1">
      <c r="C88" s="317">
        <f>C83/10</f>
        <v>32407.4</v>
      </c>
      <c r="D88" s="317">
        <f t="shared" si="28"/>
        <v>40905.800000000003</v>
      </c>
      <c r="F88" s="317">
        <f t="shared" si="28"/>
        <v>4601.6000000000004</v>
      </c>
      <c r="G88" s="317">
        <f t="shared" si="28"/>
        <v>7008.6</v>
      </c>
      <c r="I88" s="317">
        <f t="shared" si="28"/>
        <v>258.7</v>
      </c>
      <c r="J88" s="317">
        <f t="shared" si="28"/>
        <v>3228.8</v>
      </c>
      <c r="L88" s="317">
        <f t="shared" si="28"/>
        <v>87.8</v>
      </c>
      <c r="M88" s="317">
        <f t="shared" si="28"/>
        <v>19156.7</v>
      </c>
      <c r="N88" s="317">
        <f t="shared" si="28"/>
        <v>19244.5</v>
      </c>
      <c r="Q88" s="317">
        <f t="shared" si="28"/>
        <v>1165.9000000000001</v>
      </c>
      <c r="R88" s="317">
        <f t="shared" si="28"/>
        <v>1974.3</v>
      </c>
      <c r="S88" s="317">
        <f t="shared" si="28"/>
        <v>-1927</v>
      </c>
      <c r="T88" s="317">
        <f t="shared" si="28"/>
        <v>-1421.4</v>
      </c>
      <c r="U88" s="317">
        <f t="shared" si="28"/>
        <v>-5631.7</v>
      </c>
      <c r="W88" s="317">
        <f t="shared" si="28"/>
        <v>470.9</v>
      </c>
    </row>
    <row r="89" spans="3:23" s="317" customFormat="1">
      <c r="H89" s="333"/>
    </row>
    <row r="90" spans="3:23" s="317" customFormat="1"/>
    <row r="91" spans="3:23" s="317" customFormat="1"/>
    <row r="92" spans="3:23" s="317" customFormat="1"/>
    <row r="93" spans="3:23" s="317" customFormat="1"/>
    <row r="94" spans="3:23" s="317" customFormat="1"/>
    <row r="95" spans="3:23" s="317" customFormat="1"/>
    <row r="96" spans="3:23" s="317" customFormat="1"/>
    <row r="97" s="317" customFormat="1"/>
    <row r="98" s="317" customFormat="1"/>
    <row r="99" s="317" customFormat="1"/>
    <row r="100" s="317" customFormat="1"/>
    <row r="101" s="317" customFormat="1"/>
    <row r="102" s="317" customFormat="1"/>
    <row r="103" s="317" customFormat="1"/>
    <row r="104" s="317" customFormat="1"/>
    <row r="105" s="317" customFormat="1"/>
    <row r="106" s="317" customFormat="1"/>
    <row r="107" s="317" customFormat="1"/>
    <row r="108" s="317" customFormat="1"/>
    <row r="109" s="317" customFormat="1"/>
    <row r="110" s="317" customFormat="1"/>
    <row r="111" s="317" customFormat="1"/>
    <row r="112" s="317" customFormat="1"/>
    <row r="113" s="317" customFormat="1"/>
    <row r="114" s="317" customFormat="1"/>
    <row r="115" s="317" customFormat="1"/>
    <row r="116" s="317" customFormat="1"/>
    <row r="117" s="317" customFormat="1"/>
    <row r="118" s="317" customFormat="1"/>
    <row r="119" s="317" customFormat="1"/>
    <row r="120" s="317" customFormat="1"/>
    <row r="121" s="317" customFormat="1"/>
    <row r="122" s="317" customFormat="1"/>
    <row r="123" s="317" customFormat="1"/>
    <row r="124" s="317" customFormat="1"/>
    <row r="125" s="317" customFormat="1"/>
    <row r="126" s="317" customFormat="1"/>
    <row r="127" s="317" customFormat="1"/>
    <row r="128" s="317" customFormat="1"/>
    <row r="129" s="317" customFormat="1"/>
    <row r="130" s="317" customFormat="1"/>
    <row r="131" s="317" customFormat="1"/>
    <row r="132" s="317" customFormat="1"/>
    <row r="133" s="317" customFormat="1"/>
    <row r="134" s="317" customFormat="1"/>
    <row r="135" s="317" customFormat="1"/>
    <row r="136" s="317" customFormat="1"/>
    <row r="137" s="317" customFormat="1"/>
    <row r="138" s="317" customFormat="1"/>
    <row r="139" s="317" customFormat="1"/>
    <row r="140" s="317" customFormat="1"/>
    <row r="141" s="317" customFormat="1"/>
    <row r="142" s="317" customFormat="1"/>
    <row r="143" s="317" customFormat="1"/>
    <row r="144" s="317" customFormat="1"/>
    <row r="145" s="317" customFormat="1"/>
    <row r="146" s="317" customFormat="1"/>
    <row r="147" s="317" customFormat="1"/>
    <row r="148" s="317" customFormat="1"/>
    <row r="149" s="317" customFormat="1"/>
    <row r="150" s="317" customFormat="1"/>
    <row r="151" s="317" customFormat="1"/>
    <row r="152" s="317" customFormat="1"/>
    <row r="153" s="317" customFormat="1"/>
    <row r="154" s="317" customFormat="1"/>
    <row r="155" s="317" customFormat="1"/>
    <row r="156" s="317" customFormat="1"/>
    <row r="157" s="317" customFormat="1"/>
    <row r="158" s="317" customFormat="1"/>
    <row r="159" s="317" customFormat="1"/>
    <row r="160" s="317" customFormat="1"/>
    <row r="161" s="317" customFormat="1"/>
    <row r="162" s="317" customFormat="1"/>
    <row r="163" s="317" customFormat="1"/>
    <row r="164" s="317" customFormat="1"/>
    <row r="165" s="317" customFormat="1"/>
    <row r="166" s="317" customFormat="1"/>
    <row r="167" s="317" customFormat="1"/>
    <row r="168" s="317" customFormat="1"/>
    <row r="169" s="317" customFormat="1"/>
    <row r="170" s="317" customFormat="1"/>
    <row r="171" s="317" customFormat="1"/>
    <row r="172" s="317" customFormat="1"/>
    <row r="173" s="317" customFormat="1"/>
    <row r="174" s="317" customFormat="1"/>
    <row r="175" s="317" customFormat="1"/>
    <row r="176" s="317" customFormat="1"/>
    <row r="177" s="317" customFormat="1"/>
    <row r="178" s="317" customFormat="1"/>
    <row r="179" s="317" customFormat="1"/>
    <row r="180" s="317" customFormat="1"/>
    <row r="181" s="317" customFormat="1"/>
    <row r="182" s="317" customFormat="1"/>
    <row r="183" s="317" customFormat="1"/>
    <row r="184" s="317" customFormat="1"/>
    <row r="185" s="317" customFormat="1"/>
    <row r="186" s="317" customFormat="1"/>
    <row r="187" s="317" customFormat="1"/>
    <row r="188" s="317" customFormat="1"/>
    <row r="189" s="317" customFormat="1"/>
    <row r="190" s="317" customFormat="1"/>
    <row r="191" s="317" customFormat="1"/>
    <row r="192" s="317" customFormat="1"/>
  </sheetData>
  <mergeCells count="19">
    <mergeCell ref="W3:W5"/>
    <mergeCell ref="C70:H70"/>
    <mergeCell ref="V2:W2"/>
    <mergeCell ref="U1:W1"/>
    <mergeCell ref="I3:K3"/>
    <mergeCell ref="O3:O4"/>
    <mergeCell ref="C3:E3"/>
    <mergeCell ref="J70:M70"/>
    <mergeCell ref="Q3:Q4"/>
    <mergeCell ref="A3:B5"/>
    <mergeCell ref="P3:P5"/>
    <mergeCell ref="I1:J1"/>
    <mergeCell ref="M1:O1"/>
    <mergeCell ref="M2:O2"/>
    <mergeCell ref="G1:H1"/>
    <mergeCell ref="L3:N3"/>
    <mergeCell ref="P1:T1"/>
    <mergeCell ref="F3:H3"/>
    <mergeCell ref="R3:V3"/>
  </mergeCells>
  <phoneticPr fontId="0" type="noConversion"/>
  <pageMargins left="0.62992125984252001" right="0.511811023622047" top="0.511811023622047" bottom="0.511811023622047" header="0" footer="0.47244094488188998"/>
  <pageSetup paperSize="512" firstPageNumber="28" orientation="portrait" useFirstPageNumber="1" r:id="rId1"/>
  <headerFooter alignWithMargins="0">
    <oddFooter>&amp;C&amp;"Times New Roman,Regular"&amp;8&amp;P</oddFooter>
  </headerFooter>
  <ignoredErrors>
    <ignoredError sqref="N23:O23 K23 H23 E23 E28 H28 K28 N28:O28 V28:W28 E33 H33 K33 N33:O33 V33:W33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>
  <dimension ref="A1:I77"/>
  <sheetViews>
    <sheetView zoomScale="110" zoomScaleNormal="110" workbookViewId="0">
      <pane xSplit="1" ySplit="5" topLeftCell="B50" activePane="bottomRight" state="frozen"/>
      <selection pane="topRight" activeCell="B1" sqref="B1"/>
      <selection pane="bottomLeft" activeCell="A7" sqref="A7"/>
      <selection pane="bottomRight" sqref="A1:G2"/>
    </sheetView>
  </sheetViews>
  <sheetFormatPr defaultRowHeight="12.75"/>
  <cols>
    <col min="1" max="1" width="7.85546875" customWidth="1"/>
    <col min="2" max="2" width="8.28515625" customWidth="1"/>
    <col min="3" max="3" width="9.42578125" customWidth="1"/>
    <col min="5" max="6" width="8.28515625" customWidth="1"/>
    <col min="8" max="8" width="8.5703125" customWidth="1"/>
    <col min="9" max="9" width="8.42578125" customWidth="1"/>
  </cols>
  <sheetData>
    <row r="1" spans="1:9" ht="15.75" customHeight="1">
      <c r="A1" s="1934" t="s">
        <v>920</v>
      </c>
      <c r="B1" s="1934"/>
      <c r="C1" s="1934"/>
      <c r="D1" s="1934"/>
      <c r="E1" s="1934"/>
      <c r="F1" s="1934"/>
      <c r="G1" s="1934"/>
      <c r="H1" s="272"/>
      <c r="I1" s="273" t="s">
        <v>892</v>
      </c>
    </row>
    <row r="2" spans="1:9" ht="15" customHeight="1">
      <c r="A2" s="1934"/>
      <c r="B2" s="1934"/>
      <c r="C2" s="1934"/>
      <c r="D2" s="1934"/>
      <c r="E2" s="1934"/>
      <c r="F2" s="1934"/>
      <c r="G2" s="1934"/>
      <c r="H2" s="272"/>
    </row>
    <row r="3" spans="1:9" ht="10.5" customHeight="1">
      <c r="A3" s="274"/>
      <c r="B3" s="275"/>
      <c r="C3" s="275"/>
      <c r="D3" s="275"/>
      <c r="F3" s="276"/>
      <c r="H3" s="1935" t="s">
        <v>0</v>
      </c>
      <c r="I3" s="1935"/>
    </row>
    <row r="4" spans="1:9" s="277" customFormat="1" ht="12.95" customHeight="1">
      <c r="A4" s="1936" t="s">
        <v>1132</v>
      </c>
      <c r="B4" s="1938" t="s">
        <v>921</v>
      </c>
      <c r="C4" s="1939"/>
      <c r="D4" s="1939"/>
      <c r="E4" s="1940"/>
      <c r="F4" s="1938" t="s">
        <v>922</v>
      </c>
      <c r="G4" s="1939"/>
      <c r="H4" s="1939"/>
      <c r="I4" s="1940"/>
    </row>
    <row r="5" spans="1:9" ht="36">
      <c r="A5" s="1937"/>
      <c r="B5" s="278" t="s">
        <v>1663</v>
      </c>
      <c r="C5" s="278" t="s">
        <v>1692</v>
      </c>
      <c r="D5" s="278" t="s">
        <v>1694</v>
      </c>
      <c r="E5" s="299" t="s">
        <v>923</v>
      </c>
      <c r="F5" s="278" t="s">
        <v>1664</v>
      </c>
      <c r="G5" s="278" t="s">
        <v>1695</v>
      </c>
      <c r="H5" s="278" t="s">
        <v>1693</v>
      </c>
      <c r="I5" s="299" t="s">
        <v>924</v>
      </c>
    </row>
    <row r="6" spans="1:9" s="24" customFormat="1" ht="9.75" customHeight="1">
      <c r="A6" s="560" t="s">
        <v>1197</v>
      </c>
      <c r="B6" s="1400">
        <v>136.71</v>
      </c>
      <c r="C6" s="1400">
        <v>151.27000000000001</v>
      </c>
      <c r="D6" s="1400">
        <v>78.87</v>
      </c>
      <c r="E6" s="561">
        <v>366.85</v>
      </c>
      <c r="F6" s="561" t="s">
        <v>836</v>
      </c>
      <c r="G6" s="561" t="s">
        <v>836</v>
      </c>
      <c r="H6" s="561" t="s">
        <v>836</v>
      </c>
      <c r="I6" s="561" t="s">
        <v>836</v>
      </c>
    </row>
    <row r="7" spans="1:9" s="24" customFormat="1" ht="9.75" customHeight="1">
      <c r="A7" s="281" t="s">
        <v>1199</v>
      </c>
      <c r="B7" s="282">
        <v>195.54</v>
      </c>
      <c r="C7" s="286">
        <v>120.71</v>
      </c>
      <c r="D7" s="286">
        <v>77.849999999999994</v>
      </c>
      <c r="E7" s="286">
        <v>394.1</v>
      </c>
      <c r="F7" s="282" t="s">
        <v>836</v>
      </c>
      <c r="G7" s="282" t="s">
        <v>836</v>
      </c>
      <c r="H7" s="282" t="s">
        <v>836</v>
      </c>
      <c r="I7" s="282" t="s">
        <v>836</v>
      </c>
    </row>
    <row r="8" spans="1:9" s="24" customFormat="1" ht="9.1999999999999993" customHeight="1">
      <c r="A8" s="560" t="s">
        <v>1200</v>
      </c>
      <c r="B8" s="561">
        <v>152.97999999999999</v>
      </c>
      <c r="C8" s="562">
        <v>80.709999999999994</v>
      </c>
      <c r="D8" s="562">
        <v>149.53</v>
      </c>
      <c r="E8" s="562">
        <v>383.22</v>
      </c>
      <c r="F8" s="562">
        <v>1010.45</v>
      </c>
      <c r="G8" s="562">
        <v>505.89</v>
      </c>
      <c r="H8" s="562">
        <v>459.04</v>
      </c>
      <c r="I8" s="566">
        <f>F8+G8+H8</f>
        <v>1975.38</v>
      </c>
    </row>
    <row r="9" spans="1:9" s="24" customFormat="1" ht="9.1999999999999993" hidden="1" customHeight="1">
      <c r="A9" s="283" t="s">
        <v>813</v>
      </c>
      <c r="B9" s="284">
        <v>109.56</v>
      </c>
      <c r="C9" s="285">
        <v>56.19</v>
      </c>
      <c r="D9" s="285">
        <v>88.5</v>
      </c>
      <c r="E9" s="285">
        <v>254.25</v>
      </c>
      <c r="F9" s="285">
        <v>968.83</v>
      </c>
      <c r="G9" s="289">
        <v>492.8</v>
      </c>
      <c r="H9" s="289">
        <v>428.96</v>
      </c>
      <c r="I9" s="289">
        <f>F9+G9+H9</f>
        <v>1890.5900000000001</v>
      </c>
    </row>
    <row r="10" spans="1:9" s="24" customFormat="1" ht="9.1999999999999993" hidden="1" customHeight="1">
      <c r="A10" s="563" t="s">
        <v>814</v>
      </c>
      <c r="B10" s="564">
        <v>43.42</v>
      </c>
      <c r="C10" s="565">
        <v>24.52</v>
      </c>
      <c r="D10" s="565">
        <v>61.03</v>
      </c>
      <c r="E10" s="565">
        <v>128.97</v>
      </c>
      <c r="F10" s="565">
        <v>1010.45</v>
      </c>
      <c r="G10" s="565">
        <v>505.89</v>
      </c>
      <c r="H10" s="565">
        <v>459.04</v>
      </c>
      <c r="I10" s="567">
        <f>F10+G10+H10</f>
        <v>1975.38</v>
      </c>
    </row>
    <row r="11" spans="1:9" s="128" customFormat="1" ht="9.1999999999999993" customHeight="1">
      <c r="A11" s="281" t="s">
        <v>1201</v>
      </c>
      <c r="B11" s="282">
        <v>372.27</v>
      </c>
      <c r="C11" s="286">
        <v>81</v>
      </c>
      <c r="D11" s="286">
        <v>110.66</v>
      </c>
      <c r="E11" s="286">
        <v>563.91999999999996</v>
      </c>
      <c r="F11" s="286">
        <v>1182.07</v>
      </c>
      <c r="G11" s="286">
        <v>470.44</v>
      </c>
      <c r="H11" s="287">
        <v>454.29</v>
      </c>
      <c r="I11" s="288">
        <f t="shared" ref="I11:I35" si="0">F11+G11+H11</f>
        <v>2106.8000000000002</v>
      </c>
    </row>
    <row r="12" spans="1:9" s="24" customFormat="1" ht="9.1999999999999993" hidden="1" customHeight="1">
      <c r="A12" s="563" t="s">
        <v>813</v>
      </c>
      <c r="B12" s="564">
        <v>306.76</v>
      </c>
      <c r="C12" s="565">
        <v>53.25</v>
      </c>
      <c r="D12" s="565">
        <v>89.66</v>
      </c>
      <c r="E12" s="565">
        <v>449.66999999999996</v>
      </c>
      <c r="F12" s="565">
        <v>1215.54</v>
      </c>
      <c r="G12" s="568">
        <v>470.37</v>
      </c>
      <c r="H12" s="567">
        <v>475.85</v>
      </c>
      <c r="I12" s="567">
        <f t="shared" si="0"/>
        <v>2161.7599999999998</v>
      </c>
    </row>
    <row r="13" spans="1:9" s="24" customFormat="1" ht="9.1999999999999993" hidden="1" customHeight="1">
      <c r="A13" s="283" t="s">
        <v>814</v>
      </c>
      <c r="B13" s="284">
        <v>65.510000000000005</v>
      </c>
      <c r="C13" s="285">
        <v>27.75</v>
      </c>
      <c r="D13" s="285">
        <v>21</v>
      </c>
      <c r="E13" s="285">
        <v>114.26</v>
      </c>
      <c r="F13" s="285">
        <v>1182.07</v>
      </c>
      <c r="G13" s="285">
        <v>470.44</v>
      </c>
      <c r="H13" s="290">
        <v>454.29</v>
      </c>
      <c r="I13" s="289">
        <f>F13+G13+H13</f>
        <v>2106.8000000000002</v>
      </c>
    </row>
    <row r="14" spans="1:9" s="128" customFormat="1" ht="9.1999999999999993" customHeight="1">
      <c r="A14" s="560" t="s">
        <v>1202</v>
      </c>
      <c r="B14" s="561">
        <v>230.11</v>
      </c>
      <c r="C14" s="562">
        <v>84.66</v>
      </c>
      <c r="D14" s="562">
        <v>79</v>
      </c>
      <c r="E14" s="562">
        <v>393.76</v>
      </c>
      <c r="F14" s="562">
        <v>1408.98</v>
      </c>
      <c r="G14" s="569">
        <v>505.13</v>
      </c>
      <c r="H14" s="562">
        <v>448.82</v>
      </c>
      <c r="I14" s="566">
        <f t="shared" si="0"/>
        <v>2362.9300000000003</v>
      </c>
    </row>
    <row r="15" spans="1:9" s="24" customFormat="1" ht="9.1999999999999993" hidden="1" customHeight="1">
      <c r="A15" s="283" t="s">
        <v>813</v>
      </c>
      <c r="B15" s="284">
        <v>168.27</v>
      </c>
      <c r="C15" s="285">
        <v>37.26</v>
      </c>
      <c r="D15" s="285">
        <v>34.68</v>
      </c>
      <c r="E15" s="285">
        <v>240.21</v>
      </c>
      <c r="F15" s="285">
        <v>1325.97</v>
      </c>
      <c r="G15" s="291">
        <v>494.15</v>
      </c>
      <c r="H15" s="289">
        <v>382.08</v>
      </c>
      <c r="I15" s="289">
        <f t="shared" si="0"/>
        <v>2202.1999999999998</v>
      </c>
    </row>
    <row r="16" spans="1:9" s="24" customFormat="1" ht="9.1999999999999993" hidden="1" customHeight="1">
      <c r="A16" s="563" t="s">
        <v>814</v>
      </c>
      <c r="B16" s="564">
        <v>61.84</v>
      </c>
      <c r="C16" s="565">
        <v>47.4</v>
      </c>
      <c r="D16" s="565">
        <v>44.32</v>
      </c>
      <c r="E16" s="565">
        <v>153.56</v>
      </c>
      <c r="F16" s="565">
        <v>1408.98</v>
      </c>
      <c r="G16" s="568">
        <v>505.13</v>
      </c>
      <c r="H16" s="565">
        <v>448.82</v>
      </c>
      <c r="I16" s="567">
        <f>F16+G16+H16</f>
        <v>2362.9300000000003</v>
      </c>
    </row>
    <row r="17" spans="1:9" s="128" customFormat="1" ht="9.1999999999999993" customHeight="1">
      <c r="A17" s="281" t="s">
        <v>1203</v>
      </c>
      <c r="B17" s="282">
        <v>163.98</v>
      </c>
      <c r="C17" s="286">
        <v>164.97</v>
      </c>
      <c r="D17" s="286">
        <v>50.23</v>
      </c>
      <c r="E17" s="286">
        <v>379.18</v>
      </c>
      <c r="F17" s="286">
        <v>1579.15</v>
      </c>
      <c r="G17" s="292">
        <v>637.75</v>
      </c>
      <c r="H17" s="287">
        <v>410.64</v>
      </c>
      <c r="I17" s="288">
        <f t="shared" si="0"/>
        <v>2627.54</v>
      </c>
    </row>
    <row r="18" spans="1:9" s="24" customFormat="1" ht="9.1999999999999993" hidden="1" customHeight="1">
      <c r="A18" s="563" t="s">
        <v>813</v>
      </c>
      <c r="B18" s="564">
        <v>71.97</v>
      </c>
      <c r="C18" s="565">
        <v>69.42</v>
      </c>
      <c r="D18" s="565">
        <v>33.36</v>
      </c>
      <c r="E18" s="565">
        <v>174.75</v>
      </c>
      <c r="F18" s="567">
        <v>1472.7</v>
      </c>
      <c r="G18" s="567">
        <v>550.1</v>
      </c>
      <c r="H18" s="567">
        <v>427.89</v>
      </c>
      <c r="I18" s="567">
        <f t="shared" si="0"/>
        <v>2450.69</v>
      </c>
    </row>
    <row r="19" spans="1:9" s="24" customFormat="1" ht="9.1999999999999993" hidden="1" customHeight="1">
      <c r="A19" s="283" t="s">
        <v>814</v>
      </c>
      <c r="B19" s="284">
        <v>92.01</v>
      </c>
      <c r="C19" s="285">
        <v>95.55</v>
      </c>
      <c r="D19" s="285">
        <v>16.87</v>
      </c>
      <c r="E19" s="285">
        <v>204.43</v>
      </c>
      <c r="F19" s="285">
        <v>1579.15</v>
      </c>
      <c r="G19" s="291">
        <v>637.75</v>
      </c>
      <c r="H19" s="290">
        <v>410.64</v>
      </c>
      <c r="I19" s="289">
        <f>F19+G19+H19</f>
        <v>2627.54</v>
      </c>
    </row>
    <row r="20" spans="1:9" s="128" customFormat="1" ht="9.1999999999999993" customHeight="1">
      <c r="A20" s="560" t="s">
        <v>1204</v>
      </c>
      <c r="B20" s="561">
        <v>111.23</v>
      </c>
      <c r="C20" s="562">
        <v>161.38</v>
      </c>
      <c r="D20" s="562">
        <v>11.55</v>
      </c>
      <c r="E20" s="562">
        <v>284.16000000000003</v>
      </c>
      <c r="F20" s="562">
        <v>1854.1</v>
      </c>
      <c r="G20" s="570">
        <v>708.43</v>
      </c>
      <c r="H20" s="562">
        <v>321.16000000000003</v>
      </c>
      <c r="I20" s="566">
        <f t="shared" si="0"/>
        <v>2883.6899999999996</v>
      </c>
    </row>
    <row r="21" spans="1:9" s="24" customFormat="1" ht="9.1999999999999993" customHeight="1">
      <c r="A21" s="283" t="s">
        <v>813</v>
      </c>
      <c r="B21" s="284">
        <v>64.13</v>
      </c>
      <c r="C21" s="285">
        <v>74.58</v>
      </c>
      <c r="D21" s="285">
        <v>7.11</v>
      </c>
      <c r="E21" s="285">
        <v>145.82</v>
      </c>
      <c r="F21" s="285">
        <v>1818.86</v>
      </c>
      <c r="G21" s="293">
        <v>649.08000000000004</v>
      </c>
      <c r="H21" s="289">
        <v>408.03</v>
      </c>
      <c r="I21" s="289">
        <f>F21+G21+H21</f>
        <v>2875.9700000000003</v>
      </c>
    </row>
    <row r="22" spans="1:9" s="24" customFormat="1" ht="9.1999999999999993" customHeight="1">
      <c r="A22" s="563" t="s">
        <v>814</v>
      </c>
      <c r="B22" s="564">
        <v>47.1</v>
      </c>
      <c r="C22" s="565">
        <v>86.8</v>
      </c>
      <c r="D22" s="565">
        <v>4.4400000000000004</v>
      </c>
      <c r="E22" s="565">
        <v>138.34</v>
      </c>
      <c r="F22" s="565">
        <v>1854.1</v>
      </c>
      <c r="G22" s="571">
        <v>708.43</v>
      </c>
      <c r="H22" s="565">
        <v>321.16000000000003</v>
      </c>
      <c r="I22" s="567">
        <f>F22+G22+H22</f>
        <v>2883.6899999999996</v>
      </c>
    </row>
    <row r="23" spans="1:9" s="128" customFormat="1" ht="9.1999999999999993" customHeight="1">
      <c r="A23" s="281" t="s">
        <v>1205</v>
      </c>
      <c r="B23" s="282">
        <v>361.14</v>
      </c>
      <c r="C23" s="286">
        <v>297.11</v>
      </c>
      <c r="D23" s="286">
        <v>145.53</v>
      </c>
      <c r="E23" s="286">
        <v>803.78</v>
      </c>
      <c r="F23" s="286">
        <v>2123.5</v>
      </c>
      <c r="G23" s="286">
        <v>880.01</v>
      </c>
      <c r="H23" s="287">
        <v>362.1</v>
      </c>
      <c r="I23" s="288">
        <f t="shared" si="0"/>
        <v>3365.61</v>
      </c>
    </row>
    <row r="24" spans="1:9" s="24" customFormat="1" ht="9.1999999999999993" customHeight="1">
      <c r="A24" s="563" t="s">
        <v>813</v>
      </c>
      <c r="B24" s="564">
        <v>108.79</v>
      </c>
      <c r="C24" s="565">
        <v>152.99</v>
      </c>
      <c r="D24" s="565">
        <v>60.28</v>
      </c>
      <c r="E24" s="565">
        <v>322.06000000000006</v>
      </c>
      <c r="F24" s="565">
        <v>1940.57</v>
      </c>
      <c r="G24" s="565">
        <v>822.04</v>
      </c>
      <c r="H24" s="567">
        <v>328.07</v>
      </c>
      <c r="I24" s="567">
        <f>F24+G24+H24</f>
        <v>3090.68</v>
      </c>
    </row>
    <row r="25" spans="1:9" s="24" customFormat="1" ht="9.1999999999999993" customHeight="1">
      <c r="A25" s="283" t="s">
        <v>814</v>
      </c>
      <c r="B25" s="284">
        <v>252.35</v>
      </c>
      <c r="C25" s="285">
        <v>144.12</v>
      </c>
      <c r="D25" s="285">
        <v>85.25</v>
      </c>
      <c r="E25" s="285">
        <v>481.72</v>
      </c>
      <c r="F25" s="285">
        <v>2123.5</v>
      </c>
      <c r="G25" s="285">
        <v>880.01</v>
      </c>
      <c r="H25" s="290">
        <v>362.1</v>
      </c>
      <c r="I25" s="289">
        <f>F25+G25+H25</f>
        <v>3365.61</v>
      </c>
    </row>
    <row r="26" spans="1:9" s="128" customFormat="1" ht="9.1999999999999993" customHeight="1">
      <c r="A26" s="560" t="s">
        <v>1210</v>
      </c>
      <c r="B26" s="561">
        <v>447.22</v>
      </c>
      <c r="C26" s="562">
        <v>198.64</v>
      </c>
      <c r="D26" s="562">
        <v>98.75</v>
      </c>
      <c r="E26" s="562">
        <v>744.61</v>
      </c>
      <c r="F26" s="562">
        <v>2468.63</v>
      </c>
      <c r="G26" s="562">
        <v>974.18</v>
      </c>
      <c r="H26" s="562">
        <v>322.72000000000003</v>
      </c>
      <c r="I26" s="566">
        <f t="shared" si="0"/>
        <v>3765.5299999999997</v>
      </c>
    </row>
    <row r="27" spans="1:9" s="24" customFormat="1" ht="9.1999999999999993" customHeight="1">
      <c r="A27" s="283" t="s">
        <v>813</v>
      </c>
      <c r="B27" s="284">
        <v>173.24</v>
      </c>
      <c r="C27" s="285">
        <v>103.36</v>
      </c>
      <c r="D27" s="285">
        <v>86.94</v>
      </c>
      <c r="E27" s="285">
        <v>363.54</v>
      </c>
      <c r="F27" s="285">
        <v>2268.39</v>
      </c>
      <c r="G27" s="285">
        <v>904.81</v>
      </c>
      <c r="H27" s="289">
        <v>363.95</v>
      </c>
      <c r="I27" s="289">
        <f>F27+G27+H27</f>
        <v>3537.1499999999996</v>
      </c>
    </row>
    <row r="28" spans="1:9" s="24" customFormat="1" ht="9.1999999999999993" customHeight="1">
      <c r="A28" s="563" t="s">
        <v>814</v>
      </c>
      <c r="B28" s="564">
        <v>273.98</v>
      </c>
      <c r="C28" s="565">
        <v>95.28</v>
      </c>
      <c r="D28" s="565">
        <v>11.81</v>
      </c>
      <c r="E28" s="565">
        <v>381.07</v>
      </c>
      <c r="F28" s="565">
        <v>2468.63</v>
      </c>
      <c r="G28" s="565">
        <v>974.18</v>
      </c>
      <c r="H28" s="565">
        <v>322.72000000000003</v>
      </c>
      <c r="I28" s="567">
        <f>F28+G28+H28</f>
        <v>3765.5299999999997</v>
      </c>
    </row>
    <row r="29" spans="1:9" s="128" customFormat="1" ht="9.1999999999999993" customHeight="1">
      <c r="A29" s="281" t="s">
        <v>1219</v>
      </c>
      <c r="B29" s="282">
        <v>464.5</v>
      </c>
      <c r="C29" s="286">
        <v>281</v>
      </c>
      <c r="D29" s="286">
        <v>47.24</v>
      </c>
      <c r="E29" s="286">
        <v>792.74</v>
      </c>
      <c r="F29" s="286">
        <v>2857.96</v>
      </c>
      <c r="G29" s="286">
        <v>1146.22</v>
      </c>
      <c r="H29" s="287">
        <v>364.23</v>
      </c>
      <c r="I29" s="288">
        <f t="shared" si="0"/>
        <v>4368.41</v>
      </c>
    </row>
    <row r="30" spans="1:9" s="24" customFormat="1" ht="9.1999999999999993" customHeight="1">
      <c r="A30" s="563" t="s">
        <v>813</v>
      </c>
      <c r="B30" s="564">
        <v>229.67</v>
      </c>
      <c r="C30" s="565">
        <v>169.46</v>
      </c>
      <c r="D30" s="565">
        <v>12.28</v>
      </c>
      <c r="E30" s="565">
        <v>411.40999999999997</v>
      </c>
      <c r="F30" s="567">
        <v>2736.5</v>
      </c>
      <c r="G30" s="567">
        <v>1133.8699999999999</v>
      </c>
      <c r="H30" s="567">
        <v>316.86</v>
      </c>
      <c r="I30" s="567">
        <f>F30+G30+H30</f>
        <v>4187.2299999999996</v>
      </c>
    </row>
    <row r="31" spans="1:9" s="24" customFormat="1" ht="9.1999999999999993" customHeight="1">
      <c r="A31" s="283" t="s">
        <v>814</v>
      </c>
      <c r="B31" s="284">
        <v>234.83</v>
      </c>
      <c r="C31" s="285">
        <v>111.54</v>
      </c>
      <c r="D31" s="285">
        <v>34.96</v>
      </c>
      <c r="E31" s="285">
        <v>381.33</v>
      </c>
      <c r="F31" s="285">
        <v>2857.96</v>
      </c>
      <c r="G31" s="285">
        <v>1146.22</v>
      </c>
      <c r="H31" s="290">
        <v>364.23</v>
      </c>
      <c r="I31" s="289">
        <f>F31+G31+H31</f>
        <v>4368.41</v>
      </c>
    </row>
    <row r="32" spans="1:9" s="128" customFormat="1" ht="9.1999999999999993" customHeight="1">
      <c r="A32" s="560" t="s">
        <v>916</v>
      </c>
      <c r="B32" s="561">
        <v>545.69000000000005</v>
      </c>
      <c r="C32" s="562">
        <v>197.71</v>
      </c>
      <c r="D32" s="562">
        <v>25.29</v>
      </c>
      <c r="E32" s="562">
        <v>768.69</v>
      </c>
      <c r="F32" s="566">
        <v>3719.99</v>
      </c>
      <c r="G32" s="562">
        <v>873.76</v>
      </c>
      <c r="H32" s="562">
        <v>210.68</v>
      </c>
      <c r="I32" s="566">
        <f t="shared" si="0"/>
        <v>4804.43</v>
      </c>
    </row>
    <row r="33" spans="1:9" s="24" customFormat="1" ht="9.1999999999999993" customHeight="1">
      <c r="A33" s="283" t="s">
        <v>813</v>
      </c>
      <c r="B33" s="284">
        <v>166.78</v>
      </c>
      <c r="C33" s="285">
        <v>101.7</v>
      </c>
      <c r="D33" s="285">
        <v>16.55</v>
      </c>
      <c r="E33" s="285">
        <v>285.03000000000003</v>
      </c>
      <c r="F33" s="285">
        <v>3068.07</v>
      </c>
      <c r="G33" s="285">
        <v>1109.5899999999999</v>
      </c>
      <c r="H33" s="289">
        <v>221.12</v>
      </c>
      <c r="I33" s="289">
        <f>F33+G33+H33</f>
        <v>4398.78</v>
      </c>
    </row>
    <row r="34" spans="1:9" s="24" customFormat="1" ht="9.1999999999999993" customHeight="1">
      <c r="A34" s="563" t="s">
        <v>814</v>
      </c>
      <c r="B34" s="564">
        <v>378.91</v>
      </c>
      <c r="C34" s="565">
        <v>96.01</v>
      </c>
      <c r="D34" s="565">
        <v>8.74</v>
      </c>
      <c r="E34" s="565">
        <v>483.66</v>
      </c>
      <c r="F34" s="567">
        <v>3719.99</v>
      </c>
      <c r="G34" s="565">
        <v>873.76</v>
      </c>
      <c r="H34" s="565">
        <v>210.68</v>
      </c>
      <c r="I34" s="567">
        <f>F34+G34+H34</f>
        <v>4804.43</v>
      </c>
    </row>
    <row r="35" spans="1:9" s="128" customFormat="1" ht="9.1999999999999993" customHeight="1">
      <c r="A35" s="281" t="s">
        <v>230</v>
      </c>
      <c r="B35" s="282">
        <v>535.41999999999996</v>
      </c>
      <c r="C35" s="286">
        <v>336.61</v>
      </c>
      <c r="D35" s="286">
        <v>88.56</v>
      </c>
      <c r="E35" s="286">
        <v>960.58999999999992</v>
      </c>
      <c r="F35" s="288">
        <v>3909.6</v>
      </c>
      <c r="G35" s="287">
        <v>903.65</v>
      </c>
      <c r="H35" s="287">
        <v>325.94</v>
      </c>
      <c r="I35" s="288">
        <f t="shared" si="0"/>
        <v>5139.1899999999996</v>
      </c>
    </row>
    <row r="36" spans="1:9" s="24" customFormat="1" ht="9.1999999999999993" customHeight="1">
      <c r="A36" s="563" t="s">
        <v>813</v>
      </c>
      <c r="B36" s="564">
        <v>430.34</v>
      </c>
      <c r="C36" s="565">
        <v>149.72</v>
      </c>
      <c r="D36" s="565">
        <v>22.59</v>
      </c>
      <c r="E36" s="565">
        <v>602.65</v>
      </c>
      <c r="F36" s="567">
        <v>3823.32</v>
      </c>
      <c r="G36" s="567">
        <v>742.04</v>
      </c>
      <c r="H36" s="567">
        <v>250.66</v>
      </c>
      <c r="I36" s="567">
        <f t="shared" ref="I36:I43" si="1">F36+G36+H36</f>
        <v>4816.0200000000004</v>
      </c>
    </row>
    <row r="37" spans="1:9" s="66" customFormat="1" ht="9.1999999999999993" customHeight="1">
      <c r="A37" s="283" t="s">
        <v>814</v>
      </c>
      <c r="B37" s="284">
        <v>105.08</v>
      </c>
      <c r="C37" s="284">
        <v>186.89</v>
      </c>
      <c r="D37" s="284">
        <v>65.97</v>
      </c>
      <c r="E37" s="284">
        <v>357.93999999999994</v>
      </c>
      <c r="F37" s="298">
        <v>3909.6</v>
      </c>
      <c r="G37" s="298">
        <v>903.65</v>
      </c>
      <c r="H37" s="298">
        <v>325.94</v>
      </c>
      <c r="I37" s="298">
        <f t="shared" si="1"/>
        <v>5139.1899999999996</v>
      </c>
    </row>
    <row r="38" spans="1:9" s="86" customFormat="1" ht="9.1999999999999993" customHeight="1">
      <c r="A38" s="560" t="s">
        <v>220</v>
      </c>
      <c r="B38" s="561">
        <f>B39+B40</f>
        <v>515.14</v>
      </c>
      <c r="C38" s="561">
        <f>C39+C40</f>
        <v>331.1</v>
      </c>
      <c r="D38" s="561">
        <f>D39+D40</f>
        <v>66.78</v>
      </c>
      <c r="E38" s="561">
        <f>E39+E40</f>
        <v>913.02</v>
      </c>
      <c r="F38" s="561">
        <f>F40</f>
        <v>5014.96</v>
      </c>
      <c r="G38" s="561">
        <f>G40</f>
        <v>544.21</v>
      </c>
      <c r="H38" s="561">
        <f>H40</f>
        <v>410.29</v>
      </c>
      <c r="I38" s="566">
        <f t="shared" si="1"/>
        <v>5969.46</v>
      </c>
    </row>
    <row r="39" spans="1:9" s="66" customFormat="1" ht="9.1999999999999993" customHeight="1">
      <c r="A39" s="283" t="s">
        <v>813</v>
      </c>
      <c r="B39" s="284">
        <v>113.47</v>
      </c>
      <c r="C39" s="284">
        <v>178.05</v>
      </c>
      <c r="D39" s="284">
        <v>50.7</v>
      </c>
      <c r="E39" s="284">
        <f>B39+C39+D39</f>
        <v>342.21999999999997</v>
      </c>
      <c r="F39" s="298">
        <v>4426.6899999999996</v>
      </c>
      <c r="G39" s="298">
        <v>474.06</v>
      </c>
      <c r="H39" s="298">
        <v>378.17</v>
      </c>
      <c r="I39" s="298">
        <f t="shared" si="1"/>
        <v>5278.92</v>
      </c>
    </row>
    <row r="40" spans="1:9" s="66" customFormat="1" ht="9.1999999999999993" customHeight="1">
      <c r="A40" s="563" t="s">
        <v>814</v>
      </c>
      <c r="B40" s="564">
        <v>401.67</v>
      </c>
      <c r="C40" s="564">
        <v>153.05000000000001</v>
      </c>
      <c r="D40" s="564">
        <v>16.079999999999998</v>
      </c>
      <c r="E40" s="564">
        <f>B40+C40+D40</f>
        <v>570.80000000000007</v>
      </c>
      <c r="F40" s="572">
        <v>5014.96</v>
      </c>
      <c r="G40" s="572">
        <v>544.21</v>
      </c>
      <c r="H40" s="572">
        <v>410.29</v>
      </c>
      <c r="I40" s="572">
        <f t="shared" si="1"/>
        <v>5969.46</v>
      </c>
    </row>
    <row r="41" spans="1:9" s="66" customFormat="1" ht="9.1999999999999993" customHeight="1">
      <c r="A41" s="281" t="s">
        <v>489</v>
      </c>
      <c r="B41" s="443">
        <f>B42+B43</f>
        <v>249.95</v>
      </c>
      <c r="C41" s="443">
        <f>C42+C43</f>
        <v>445.19</v>
      </c>
      <c r="D41" s="443">
        <f>D42+D43</f>
        <v>83.9</v>
      </c>
      <c r="E41" s="443">
        <f>E42+E43</f>
        <v>779.04</v>
      </c>
      <c r="F41" s="443">
        <f>F43</f>
        <v>5143.7</v>
      </c>
      <c r="G41" s="443">
        <f>G43</f>
        <v>612.69000000000005</v>
      </c>
      <c r="H41" s="443">
        <f>H43</f>
        <v>462.67</v>
      </c>
      <c r="I41" s="444">
        <f t="shared" si="1"/>
        <v>6219.0599999999995</v>
      </c>
    </row>
    <row r="42" spans="1:9" s="66" customFormat="1" ht="9.1999999999999993" customHeight="1">
      <c r="A42" s="563" t="s">
        <v>1499</v>
      </c>
      <c r="B42" s="564">
        <v>118.31</v>
      </c>
      <c r="C42" s="564">
        <v>211.57</v>
      </c>
      <c r="D42" s="564">
        <v>12.64</v>
      </c>
      <c r="E42" s="564">
        <f>B42+C42+D42</f>
        <v>342.52</v>
      </c>
      <c r="F42" s="572">
        <v>5196.21</v>
      </c>
      <c r="G42" s="572">
        <v>533.65</v>
      </c>
      <c r="H42" s="572">
        <v>342.21</v>
      </c>
      <c r="I42" s="572">
        <f t="shared" si="1"/>
        <v>6072.07</v>
      </c>
    </row>
    <row r="43" spans="1:9" s="66" customFormat="1" ht="9.1999999999999993" customHeight="1">
      <c r="A43" s="283" t="s">
        <v>814</v>
      </c>
      <c r="B43" s="284">
        <v>131.63999999999999</v>
      </c>
      <c r="C43" s="284">
        <v>233.62</v>
      </c>
      <c r="D43" s="284">
        <v>71.260000000000005</v>
      </c>
      <c r="E43" s="284">
        <f>B43+C43+D43</f>
        <v>436.52</v>
      </c>
      <c r="F43" s="298">
        <v>5143.7</v>
      </c>
      <c r="G43" s="298">
        <v>612.69000000000005</v>
      </c>
      <c r="H43" s="298">
        <v>462.67</v>
      </c>
      <c r="I43" s="298">
        <f t="shared" si="1"/>
        <v>6219.0599999999995</v>
      </c>
    </row>
    <row r="44" spans="1:9" s="66" customFormat="1" ht="9.1999999999999993" customHeight="1">
      <c r="A44" s="560" t="s">
        <v>1580</v>
      </c>
      <c r="B44" s="561">
        <f>B45+B46</f>
        <v>454.09999999999997</v>
      </c>
      <c r="C44" s="561">
        <f>C45+C46</f>
        <v>542.34999999999991</v>
      </c>
      <c r="D44" s="561">
        <f>D45+D46</f>
        <v>198.42999999999998</v>
      </c>
      <c r="E44" s="561">
        <f>E45+E46</f>
        <v>1194.8800000000001</v>
      </c>
      <c r="F44" s="561">
        <f>F46</f>
        <v>4855.47</v>
      </c>
      <c r="G44" s="561">
        <f>G46</f>
        <v>861.44</v>
      </c>
      <c r="H44" s="561">
        <f>H46</f>
        <v>533.95000000000005</v>
      </c>
      <c r="I44" s="566">
        <f t="shared" ref="I44:I54" si="2">F44+G44+H44</f>
        <v>6250.86</v>
      </c>
    </row>
    <row r="45" spans="1:9" s="66" customFormat="1" ht="9.1999999999999993" customHeight="1">
      <c r="A45" s="283" t="s">
        <v>1499</v>
      </c>
      <c r="B45" s="284">
        <v>300.20999999999998</v>
      </c>
      <c r="C45" s="284">
        <v>256.01</v>
      </c>
      <c r="D45" s="284">
        <v>143.63999999999999</v>
      </c>
      <c r="E45" s="284">
        <f>B45+C45+D45</f>
        <v>699.86</v>
      </c>
      <c r="F45" s="298">
        <v>4943.83</v>
      </c>
      <c r="G45" s="298">
        <v>670.37</v>
      </c>
      <c r="H45" s="298">
        <v>551.61</v>
      </c>
      <c r="I45" s="298">
        <f t="shared" si="2"/>
        <v>6165.8099999999995</v>
      </c>
    </row>
    <row r="46" spans="1:9" s="66" customFormat="1" ht="9.1999999999999993" customHeight="1">
      <c r="A46" s="563" t="s">
        <v>814</v>
      </c>
      <c r="B46" s="564">
        <v>153.88999999999999</v>
      </c>
      <c r="C46" s="564">
        <v>286.33999999999997</v>
      </c>
      <c r="D46" s="564">
        <v>54.79</v>
      </c>
      <c r="E46" s="564">
        <f>B46+C46+D46</f>
        <v>495.02</v>
      </c>
      <c r="F46" s="572">
        <v>4855.47</v>
      </c>
      <c r="G46" s="572">
        <v>861.44</v>
      </c>
      <c r="H46" s="572">
        <v>533.95000000000005</v>
      </c>
      <c r="I46" s="572">
        <f t="shared" si="2"/>
        <v>6250.86</v>
      </c>
    </row>
    <row r="47" spans="1:9" s="66" customFormat="1" ht="9.1999999999999993" customHeight="1">
      <c r="A47" s="446" t="s">
        <v>1809</v>
      </c>
      <c r="B47" s="443">
        <f>B48+B49</f>
        <v>761.03</v>
      </c>
      <c r="C47" s="443">
        <f>C48+C49</f>
        <v>645.64</v>
      </c>
      <c r="D47" s="443">
        <f>D48+D49</f>
        <v>323.96000000000004</v>
      </c>
      <c r="E47" s="443">
        <f>E48+E49</f>
        <v>1730.63</v>
      </c>
      <c r="F47" s="443">
        <f>F49</f>
        <v>6333.41</v>
      </c>
      <c r="G47" s="443">
        <f>G49</f>
        <v>995.87</v>
      </c>
      <c r="H47" s="443">
        <f>H49</f>
        <v>1033.78</v>
      </c>
      <c r="I47" s="444">
        <f t="shared" si="2"/>
        <v>8363.06</v>
      </c>
    </row>
    <row r="48" spans="1:9" s="66" customFormat="1" ht="9.1999999999999993" customHeight="1">
      <c r="A48" s="563" t="s">
        <v>1499</v>
      </c>
      <c r="B48" s="564">
        <v>343.74</v>
      </c>
      <c r="C48" s="564">
        <v>301.19</v>
      </c>
      <c r="D48" s="564">
        <v>152.61000000000001</v>
      </c>
      <c r="E48" s="564">
        <f>B48+C48+D48</f>
        <v>797.54000000000008</v>
      </c>
      <c r="F48" s="572">
        <v>6085.39</v>
      </c>
      <c r="G48" s="572">
        <v>846.55</v>
      </c>
      <c r="H48" s="572">
        <v>818.3</v>
      </c>
      <c r="I48" s="572">
        <f t="shared" si="2"/>
        <v>7750.2400000000007</v>
      </c>
    </row>
    <row r="49" spans="1:9" s="66" customFormat="1" ht="9.1999999999999993" customHeight="1">
      <c r="A49" s="283" t="s">
        <v>814</v>
      </c>
      <c r="B49" s="1042">
        <v>417.29</v>
      </c>
      <c r="C49" s="1042">
        <v>344.45</v>
      </c>
      <c r="D49" s="1042">
        <v>171.35</v>
      </c>
      <c r="E49" s="284">
        <f>B49+C49+D49</f>
        <v>933.09</v>
      </c>
      <c r="F49" s="960">
        <v>6333.41</v>
      </c>
      <c r="G49" s="960">
        <v>995.87</v>
      </c>
      <c r="H49" s="960">
        <v>1033.78</v>
      </c>
      <c r="I49" s="298">
        <f t="shared" si="2"/>
        <v>8363.06</v>
      </c>
    </row>
    <row r="50" spans="1:9" s="66" customFormat="1" ht="9.1999999999999993" customHeight="1">
      <c r="A50" s="560" t="s">
        <v>2226</v>
      </c>
      <c r="B50" s="561">
        <f>B51+B54+B53</f>
        <v>233.83999999999997</v>
      </c>
      <c r="C50" s="561">
        <f>C51+C54+C53</f>
        <v>795.78</v>
      </c>
      <c r="D50" s="561">
        <f>D51+D54+D53</f>
        <v>450.71999999999997</v>
      </c>
      <c r="E50" s="561">
        <f>E51+E54+E53</f>
        <v>1480.34</v>
      </c>
      <c r="F50" s="561">
        <f>F54</f>
        <v>6375.35</v>
      </c>
      <c r="G50" s="561">
        <f>G54</f>
        <v>964.83</v>
      </c>
      <c r="H50" s="561">
        <f>H54</f>
        <v>2000.05</v>
      </c>
      <c r="I50" s="566">
        <f>F50+G50+H50</f>
        <v>9340.23</v>
      </c>
    </row>
    <row r="51" spans="1:9" s="66" customFormat="1" ht="9.1999999999999993" customHeight="1">
      <c r="A51" s="1107" t="s">
        <v>1499</v>
      </c>
      <c r="B51" s="1042">
        <v>123.77</v>
      </c>
      <c r="C51" s="1042">
        <v>352.66</v>
      </c>
      <c r="D51" s="1042">
        <v>189.64</v>
      </c>
      <c r="E51" s="1042">
        <f>B51+C51+D51</f>
        <v>666.06999999999994</v>
      </c>
      <c r="F51" s="960">
        <v>6345.56</v>
      </c>
      <c r="G51" s="960">
        <v>969.93</v>
      </c>
      <c r="H51" s="960">
        <v>1278</v>
      </c>
      <c r="I51" s="960">
        <f t="shared" si="2"/>
        <v>8593.4900000000016</v>
      </c>
    </row>
    <row r="52" spans="1:9" s="66" customFormat="1" ht="9.1999999999999993" customHeight="1">
      <c r="A52" s="563" t="s">
        <v>814</v>
      </c>
      <c r="B52" s="564">
        <f>B53+B54</f>
        <v>110.07</v>
      </c>
      <c r="C52" s="564">
        <f>C53+C54</f>
        <v>443.12</v>
      </c>
      <c r="D52" s="564">
        <f>D53+D54</f>
        <v>261.08</v>
      </c>
      <c r="E52" s="564">
        <f>E53+E54</f>
        <v>814.27</v>
      </c>
      <c r="F52" s="572">
        <v>6375.35</v>
      </c>
      <c r="G52" s="572">
        <v>964.83</v>
      </c>
      <c r="H52" s="572">
        <v>2000.05</v>
      </c>
      <c r="I52" s="572">
        <f>F52+G52+H52</f>
        <v>9340.23</v>
      </c>
    </row>
    <row r="53" spans="1:9" s="66" customFormat="1" ht="9.1999999999999993" customHeight="1">
      <c r="A53" s="1376" t="s">
        <v>2681</v>
      </c>
      <c r="B53" s="1042">
        <v>71.7</v>
      </c>
      <c r="C53" s="1042">
        <v>246.42</v>
      </c>
      <c r="D53" s="1042">
        <v>129.38</v>
      </c>
      <c r="E53" s="1042">
        <f>B53+C53+D53</f>
        <v>447.5</v>
      </c>
      <c r="F53" s="960">
        <v>6228.02</v>
      </c>
      <c r="G53" s="960">
        <v>850.53</v>
      </c>
      <c r="H53" s="960">
        <v>1768.18</v>
      </c>
      <c r="I53" s="960">
        <f t="shared" si="2"/>
        <v>8846.73</v>
      </c>
    </row>
    <row r="54" spans="1:9" s="66" customFormat="1" ht="9.1999999999999993" customHeight="1">
      <c r="A54" s="563" t="s">
        <v>2682</v>
      </c>
      <c r="B54" s="564">
        <v>38.369999999999997</v>
      </c>
      <c r="C54" s="564">
        <v>196.7</v>
      </c>
      <c r="D54" s="564">
        <v>131.69999999999999</v>
      </c>
      <c r="E54" s="564">
        <f>B54+C54+D54</f>
        <v>366.77</v>
      </c>
      <c r="F54" s="572">
        <v>6375.35</v>
      </c>
      <c r="G54" s="572">
        <v>964.83</v>
      </c>
      <c r="H54" s="572">
        <v>2000.05</v>
      </c>
      <c r="I54" s="572">
        <f t="shared" si="2"/>
        <v>9340.23</v>
      </c>
    </row>
    <row r="55" spans="1:9" s="66" customFormat="1" ht="9.75" customHeight="1">
      <c r="A55" s="446" t="s">
        <v>2376</v>
      </c>
      <c r="B55" s="443">
        <f>B56+B59</f>
        <v>528.03</v>
      </c>
      <c r="C55" s="443">
        <f>C56+C59</f>
        <v>1141.3400000000001</v>
      </c>
      <c r="D55" s="443">
        <f>D56+D59</f>
        <v>164.5</v>
      </c>
      <c r="E55" s="443">
        <f>E56+E59</f>
        <v>1833.8700000000001</v>
      </c>
      <c r="F55" s="1210">
        <f>F61</f>
        <v>9027.07</v>
      </c>
      <c r="G55" s="1210">
        <f>G61</f>
        <v>1326.11</v>
      </c>
      <c r="H55" s="1210">
        <f>H61</f>
        <v>2147.9499999999998</v>
      </c>
      <c r="I55" s="1210">
        <f>I61</f>
        <v>12501.130000000001</v>
      </c>
    </row>
    <row r="56" spans="1:9" s="66" customFormat="1" ht="9.1999999999999993" customHeight="1">
      <c r="A56" s="563" t="s">
        <v>813</v>
      </c>
      <c r="B56" s="564">
        <f>B57+B58</f>
        <v>170.23000000000002</v>
      </c>
      <c r="C56" s="564">
        <f>C57+C58</f>
        <v>545.69000000000005</v>
      </c>
      <c r="D56" s="564">
        <f>D57+D58</f>
        <v>21.090000000000003</v>
      </c>
      <c r="E56" s="564">
        <f>E57+E58</f>
        <v>737.01</v>
      </c>
      <c r="F56" s="1297">
        <v>6717.59</v>
      </c>
      <c r="G56" s="1297">
        <v>1142.17</v>
      </c>
      <c r="H56" s="1297">
        <v>2169.04</v>
      </c>
      <c r="I56" s="1297">
        <f t="shared" ref="I56:I63" si="3">F56+G56+H56</f>
        <v>10028.799999999999</v>
      </c>
    </row>
    <row r="57" spans="1:9" s="66" customFormat="1" ht="9.1999999999999993" customHeight="1">
      <c r="A57" s="1107" t="s">
        <v>2683</v>
      </c>
      <c r="B57" s="1042">
        <v>51.06</v>
      </c>
      <c r="C57" s="1042">
        <v>260.08</v>
      </c>
      <c r="D57" s="1042">
        <v>29.96</v>
      </c>
      <c r="E57" s="1042">
        <f>B57+C57+D57</f>
        <v>341.09999999999997</v>
      </c>
      <c r="F57" s="960">
        <v>6372.25</v>
      </c>
      <c r="G57" s="960">
        <v>1086.7</v>
      </c>
      <c r="H57" s="960">
        <v>2120.88</v>
      </c>
      <c r="I57" s="960">
        <f t="shared" si="3"/>
        <v>9579.83</v>
      </c>
    </row>
    <row r="58" spans="1:9" s="66" customFormat="1" ht="9.1999999999999993" customHeight="1">
      <c r="A58" s="1295" t="s">
        <v>2684</v>
      </c>
      <c r="B58" s="1296">
        <v>119.17</v>
      </c>
      <c r="C58" s="1296">
        <v>285.61</v>
      </c>
      <c r="D58" s="1296">
        <v>-8.8699999999999992</v>
      </c>
      <c r="E58" s="1296">
        <f>B58+C58+D58</f>
        <v>395.91</v>
      </c>
      <c r="F58" s="1297">
        <v>6717.59</v>
      </c>
      <c r="G58" s="1297">
        <v>1142.17</v>
      </c>
      <c r="H58" s="1297">
        <v>2169.04</v>
      </c>
      <c r="I58" s="1297">
        <f t="shared" si="3"/>
        <v>10028.799999999999</v>
      </c>
    </row>
    <row r="59" spans="1:9" s="66" customFormat="1" ht="9.1999999999999993" customHeight="1">
      <c r="A59" s="447" t="s">
        <v>814</v>
      </c>
      <c r="B59" s="1042">
        <f>B60+B61</f>
        <v>357.8</v>
      </c>
      <c r="C59" s="1042">
        <f>C60+C61</f>
        <v>595.65</v>
      </c>
      <c r="D59" s="1042">
        <f>D60+D61</f>
        <v>143.41</v>
      </c>
      <c r="E59" s="1042">
        <f>E60+E61</f>
        <v>1096.8600000000001</v>
      </c>
      <c r="F59" s="1342">
        <v>9027.07</v>
      </c>
      <c r="G59" s="1342">
        <v>1326.11</v>
      </c>
      <c r="H59" s="1342">
        <v>2147.9499999999998</v>
      </c>
      <c r="I59" s="1342">
        <f t="shared" si="3"/>
        <v>12501.130000000001</v>
      </c>
    </row>
    <row r="60" spans="1:9" s="66" customFormat="1" ht="9.1999999999999993" customHeight="1">
      <c r="A60" s="1295" t="s">
        <v>2681</v>
      </c>
      <c r="B60" s="1296">
        <v>195.69</v>
      </c>
      <c r="C60" s="1296">
        <v>330.5</v>
      </c>
      <c r="D60" s="1296">
        <v>80.73</v>
      </c>
      <c r="E60" s="1296">
        <f>B60+C60+D60</f>
        <v>606.92000000000007</v>
      </c>
      <c r="F60" s="1297">
        <v>8996.68</v>
      </c>
      <c r="G60" s="1297">
        <v>1401.28</v>
      </c>
      <c r="H60" s="1297">
        <v>2287.89</v>
      </c>
      <c r="I60" s="1297">
        <f t="shared" si="3"/>
        <v>12685.85</v>
      </c>
    </row>
    <row r="61" spans="1:9" s="66" customFormat="1" ht="9.1999999999999993" customHeight="1">
      <c r="A61" s="447" t="s">
        <v>2682</v>
      </c>
      <c r="B61" s="1382">
        <v>162.11000000000001</v>
      </c>
      <c r="C61" s="1382">
        <v>265.14999999999998</v>
      </c>
      <c r="D61" s="1382">
        <v>62.68</v>
      </c>
      <c r="E61" s="1382">
        <f>B61+C61+D61</f>
        <v>489.94</v>
      </c>
      <c r="F61" s="1342">
        <v>9027.07</v>
      </c>
      <c r="G61" s="1342">
        <v>1326.11</v>
      </c>
      <c r="H61" s="1342">
        <v>2147.9499999999998</v>
      </c>
      <c r="I61" s="1342">
        <f t="shared" si="3"/>
        <v>12501.130000000001</v>
      </c>
    </row>
    <row r="62" spans="1:9" s="66" customFormat="1" ht="10.5" customHeight="1">
      <c r="A62" s="1384" t="s">
        <v>2608</v>
      </c>
      <c r="B62" s="561">
        <f>B63+B66</f>
        <v>505.55</v>
      </c>
      <c r="C62" s="561">
        <f>C63+C66</f>
        <v>1154.4499999999998</v>
      </c>
      <c r="D62" s="561">
        <f>D63+D66</f>
        <v>343.53</v>
      </c>
      <c r="E62" s="561">
        <f>E63+E66</f>
        <v>2003.5299999999997</v>
      </c>
      <c r="F62" s="1504">
        <f>F68</f>
        <v>9549.39</v>
      </c>
      <c r="G62" s="1504">
        <f>G68</f>
        <v>1585.21</v>
      </c>
      <c r="H62" s="1504">
        <f>H68</f>
        <v>2311.54</v>
      </c>
      <c r="I62" s="1504">
        <f>I68</f>
        <v>13446.14</v>
      </c>
    </row>
    <row r="63" spans="1:9" s="66" customFormat="1" ht="11.25" customHeight="1">
      <c r="A63" s="447" t="s">
        <v>2735</v>
      </c>
      <c r="B63" s="1382">
        <f>B64+B65</f>
        <v>338.87</v>
      </c>
      <c r="C63" s="1382">
        <f>C64+C65</f>
        <v>549.08999999999992</v>
      </c>
      <c r="D63" s="1382">
        <f>D64+D65</f>
        <v>250.57</v>
      </c>
      <c r="E63" s="1382">
        <f>E64+E65</f>
        <v>1138.5299999999997</v>
      </c>
      <c r="F63" s="1342">
        <v>9276.15</v>
      </c>
      <c r="G63" s="1342">
        <v>1325.46</v>
      </c>
      <c r="H63" s="1342">
        <v>2310.5300000000002</v>
      </c>
      <c r="I63" s="1342">
        <f t="shared" si="3"/>
        <v>12912.140000000001</v>
      </c>
    </row>
    <row r="64" spans="1:9" s="66" customFormat="1" ht="10.5" customHeight="1">
      <c r="A64" s="1295" t="s">
        <v>2683</v>
      </c>
      <c r="B64" s="1296">
        <v>224.91</v>
      </c>
      <c r="C64" s="1296">
        <v>244.38</v>
      </c>
      <c r="D64" s="1296">
        <v>128.79</v>
      </c>
      <c r="E64" s="1296">
        <f>B64+C64+D64</f>
        <v>598.07999999999993</v>
      </c>
      <c r="F64" s="1297">
        <v>9211.5499999999993</v>
      </c>
      <c r="G64" s="1297">
        <v>1257.28</v>
      </c>
      <c r="H64" s="1297">
        <v>2141.58</v>
      </c>
      <c r="I64" s="1297">
        <f>F64+G64+H64</f>
        <v>12610.41</v>
      </c>
    </row>
    <row r="65" spans="1:9" s="66" customFormat="1" ht="10.5" customHeight="1">
      <c r="A65" s="447" t="s">
        <v>2684</v>
      </c>
      <c r="B65" s="1382">
        <v>113.96</v>
      </c>
      <c r="C65" s="1382">
        <v>304.70999999999998</v>
      </c>
      <c r="D65" s="1382">
        <v>121.78</v>
      </c>
      <c r="E65" s="1382">
        <f>B65+C65+D65</f>
        <v>540.44999999999993</v>
      </c>
      <c r="F65" s="1342">
        <v>9276.15</v>
      </c>
      <c r="G65" s="1342">
        <v>1325.46</v>
      </c>
      <c r="H65" s="1342">
        <v>2310.5300000000002</v>
      </c>
      <c r="I65" s="1342">
        <f>F65+G65+H65</f>
        <v>12912.140000000001</v>
      </c>
    </row>
    <row r="66" spans="1:9" s="66" customFormat="1" ht="10.5" customHeight="1">
      <c r="A66" s="1295" t="s">
        <v>814</v>
      </c>
      <c r="B66" s="1296">
        <f>B67+B68</f>
        <v>166.68</v>
      </c>
      <c r="C66" s="1296">
        <f>C67+C68</f>
        <v>605.36</v>
      </c>
      <c r="D66" s="1296">
        <f>D67+D68</f>
        <v>92.960000000000008</v>
      </c>
      <c r="E66" s="1296">
        <f>B66+C66+D66</f>
        <v>865</v>
      </c>
      <c r="F66" s="1297">
        <f>F68</f>
        <v>9549.39</v>
      </c>
      <c r="G66" s="1297">
        <f>G68</f>
        <v>1585.21</v>
      </c>
      <c r="H66" s="1297">
        <f>H68</f>
        <v>2311.54</v>
      </c>
      <c r="I66" s="1297">
        <f>F66+G66+H66</f>
        <v>13446.14</v>
      </c>
    </row>
    <row r="67" spans="1:9" s="66" customFormat="1" ht="10.5" customHeight="1">
      <c r="A67" s="447" t="s">
        <v>2807</v>
      </c>
      <c r="B67" s="1382">
        <v>90.29</v>
      </c>
      <c r="C67" s="1382">
        <v>299.86</v>
      </c>
      <c r="D67" s="1382">
        <v>20.53</v>
      </c>
      <c r="E67" s="1382">
        <f>B67+C67+D67</f>
        <v>410.68000000000006</v>
      </c>
      <c r="F67" s="1342">
        <v>9674.09</v>
      </c>
      <c r="G67" s="1342">
        <v>1567.33</v>
      </c>
      <c r="H67" s="1342">
        <v>2298.65</v>
      </c>
      <c r="I67" s="1342">
        <f>F67+G67+H67</f>
        <v>13540.07</v>
      </c>
    </row>
    <row r="68" spans="1:9" s="66" customFormat="1" ht="10.5" customHeight="1">
      <c r="A68" s="1295" t="s">
        <v>2682</v>
      </c>
      <c r="B68" s="1296">
        <v>76.39</v>
      </c>
      <c r="C68" s="1296">
        <v>305.5</v>
      </c>
      <c r="D68" s="1296">
        <v>72.430000000000007</v>
      </c>
      <c r="E68" s="1296">
        <f>B68+C68+D68</f>
        <v>454.32</v>
      </c>
      <c r="F68" s="1297">
        <v>9549.39</v>
      </c>
      <c r="G68" s="1297">
        <v>1585.21</v>
      </c>
      <c r="H68" s="1297">
        <v>2311.54</v>
      </c>
      <c r="I68" s="1297">
        <f>F68+G68+H68</f>
        <v>13446.14</v>
      </c>
    </row>
    <row r="69" spans="1:9" s="66" customFormat="1" ht="10.5" customHeight="1">
      <c r="A69" s="1546" t="s">
        <v>2809</v>
      </c>
      <c r="B69" s="1382"/>
      <c r="C69" s="1382"/>
      <c r="D69" s="1382"/>
      <c r="E69" s="1382"/>
      <c r="F69" s="1342"/>
      <c r="G69" s="1342"/>
      <c r="H69" s="1342"/>
      <c r="I69" s="1342"/>
    </row>
    <row r="70" spans="1:9" s="66" customFormat="1" ht="10.5" customHeight="1" thickBot="1">
      <c r="A70" s="1441" t="s">
        <v>2683</v>
      </c>
      <c r="B70" s="1442">
        <v>258.52</v>
      </c>
      <c r="C70" s="1442">
        <v>119.26</v>
      </c>
      <c r="D70" s="1442">
        <v>60.92</v>
      </c>
      <c r="E70" s="1442">
        <f>B70+C70+D70</f>
        <v>438.7</v>
      </c>
      <c r="F70" s="1443">
        <v>9846.48</v>
      </c>
      <c r="G70" s="1443">
        <v>1517.16</v>
      </c>
      <c r="H70" s="1443">
        <v>2430.59</v>
      </c>
      <c r="I70" s="1443">
        <f>F70+G70+H70</f>
        <v>13794.23</v>
      </c>
    </row>
    <row r="71" spans="1:9" s="422" customFormat="1" ht="9.9499999999999993" customHeight="1">
      <c r="A71" s="446" t="s">
        <v>1271</v>
      </c>
      <c r="B71" s="1932" t="s">
        <v>1806</v>
      </c>
      <c r="C71" s="1932"/>
      <c r="D71" s="1932"/>
      <c r="E71" s="1932"/>
      <c r="F71" s="1932"/>
      <c r="G71" s="1932"/>
      <c r="H71" s="1932"/>
      <c r="I71" s="1932"/>
    </row>
    <row r="72" spans="1:9" s="279" customFormat="1" ht="9.9499999999999993" customHeight="1">
      <c r="A72" s="24"/>
      <c r="B72" s="1933" t="s">
        <v>324</v>
      </c>
      <c r="C72" s="1933"/>
      <c r="D72" s="1933"/>
      <c r="E72" s="1933"/>
      <c r="F72" s="1933"/>
      <c r="G72" s="1933"/>
      <c r="H72" s="1933"/>
      <c r="I72" s="1933"/>
    </row>
    <row r="73" spans="1:9" ht="9.9499999999999993" customHeight="1">
      <c r="A73" s="1"/>
      <c r="B73" s="106" t="s">
        <v>2643</v>
      </c>
      <c r="C73" s="445"/>
      <c r="D73" s="445"/>
      <c r="E73" s="445"/>
      <c r="F73" s="445"/>
      <c r="G73" s="445"/>
      <c r="H73" s="445"/>
      <c r="I73" s="445"/>
    </row>
    <row r="74" spans="1:9" ht="9.9499999999999993" customHeight="1">
      <c r="A74" s="447" t="s">
        <v>1805</v>
      </c>
      <c r="B74" s="1931" t="s">
        <v>516</v>
      </c>
      <c r="C74" s="1931"/>
      <c r="D74" s="1931"/>
      <c r="E74" s="1931"/>
      <c r="F74" s="445"/>
      <c r="G74" s="445"/>
      <c r="H74" s="445"/>
      <c r="I74" s="445"/>
    </row>
    <row r="76" spans="1:9">
      <c r="E76" s="1383"/>
    </row>
    <row r="77" spans="1:9">
      <c r="E77" s="1383"/>
    </row>
  </sheetData>
  <mergeCells count="8">
    <mergeCell ref="B74:E74"/>
    <mergeCell ref="B71:I71"/>
    <mergeCell ref="B72:I72"/>
    <mergeCell ref="A1:G2"/>
    <mergeCell ref="H3:I3"/>
    <mergeCell ref="A4:A5"/>
    <mergeCell ref="B4:E4"/>
    <mergeCell ref="F4:I4"/>
  </mergeCells>
  <phoneticPr fontId="58" type="noConversion"/>
  <pageMargins left="0.59055118110236204" right="0.511811023622047" top="0.39370078740157499" bottom="0.511811023622047" header="0" footer="0.39370078740157499"/>
  <pageSetup paperSize="512" firstPageNumber="31" orientation="portrait" useFirstPageNumber="1" r:id="rId1"/>
  <headerFooter>
    <oddFooter>&amp;C&amp;"Times New Roman,Regular"&amp;8&amp;P</oddFooter>
  </headerFooter>
  <ignoredErrors>
    <ignoredError sqref="E41 E44 E47" 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>
  <dimension ref="A1:AQ74"/>
  <sheetViews>
    <sheetView zoomScale="110" zoomScaleNormal="110" workbookViewId="0">
      <pane xSplit="1" ySplit="6" topLeftCell="B51" activePane="bottomRight" state="frozen"/>
      <selection pane="topRight" activeCell="B1" sqref="B1"/>
      <selection pane="bottomLeft" activeCell="A7" sqref="A7"/>
      <selection pane="bottomRight" activeCell="A20" sqref="A20:XFD20"/>
    </sheetView>
  </sheetViews>
  <sheetFormatPr defaultColWidth="9.140625" defaultRowHeight="9"/>
  <cols>
    <col min="1" max="1" width="9.85546875" style="106" customWidth="1"/>
    <col min="2" max="2" width="5.28515625" style="47" customWidth="1"/>
    <col min="3" max="3" width="6.85546875" style="47" customWidth="1"/>
    <col min="4" max="4" width="4.85546875" style="47" customWidth="1"/>
    <col min="5" max="5" width="5.5703125" style="47" customWidth="1"/>
    <col min="6" max="6" width="5.42578125" style="47" customWidth="1"/>
    <col min="7" max="7" width="8.85546875" style="47" customWidth="1"/>
    <col min="8" max="8" width="6.85546875" style="47" customWidth="1"/>
    <col min="9" max="9" width="5.42578125" style="47" customWidth="1"/>
    <col min="10" max="10" width="5.5703125" style="47" customWidth="1"/>
    <col min="11" max="12" width="6.42578125" style="47" customWidth="1"/>
    <col min="13" max="13" width="7.140625" style="47" customWidth="1"/>
    <col min="14" max="14" width="1.28515625" style="47" customWidth="1"/>
    <col min="15" max="15" width="8.85546875" style="47" customWidth="1"/>
    <col min="16" max="16" width="8.5703125" style="47" customWidth="1"/>
    <col min="17" max="17" width="9" style="47" customWidth="1"/>
    <col min="18" max="18" width="8.140625" style="47" customWidth="1"/>
    <col min="19" max="19" width="7.7109375" style="47" customWidth="1"/>
    <col min="20" max="20" width="7.42578125" style="47" customWidth="1"/>
    <col min="21" max="21" width="7.85546875" style="47" customWidth="1"/>
    <col min="22" max="22" width="9.5703125" style="106" customWidth="1"/>
    <col min="23" max="23" width="9.7109375" style="106" customWidth="1"/>
    <col min="24" max="25" width="6" style="47" customWidth="1"/>
    <col min="26" max="26" width="7.5703125" style="47" customWidth="1"/>
    <col min="27" max="27" width="6.85546875" style="47" customWidth="1"/>
    <col min="28" max="28" width="6.7109375" style="47" customWidth="1"/>
    <col min="29" max="29" width="6.85546875" style="47" customWidth="1"/>
    <col min="30" max="30" width="6.5703125" style="47" customWidth="1"/>
    <col min="31" max="31" width="7.28515625" style="47" customWidth="1"/>
    <col min="32" max="32" width="8.140625" style="47" customWidth="1"/>
    <col min="33" max="33" width="6.85546875" style="47" customWidth="1"/>
    <col min="34" max="34" width="5.5703125" style="47" customWidth="1"/>
    <col min="35" max="35" width="7.7109375" style="47" customWidth="1"/>
    <col min="36" max="36" width="7" style="47" customWidth="1"/>
    <col min="37" max="37" width="7.140625" style="47" customWidth="1"/>
    <col min="38" max="38" width="7.7109375" style="47" customWidth="1"/>
    <col min="39" max="39" width="7.85546875" style="47" customWidth="1"/>
    <col min="40" max="40" width="8.42578125" style="47" customWidth="1"/>
    <col min="41" max="41" width="9.140625" style="47" customWidth="1"/>
    <col min="42" max="42" width="8.85546875" style="47" customWidth="1"/>
    <col min="43" max="43" width="9.7109375" style="106" customWidth="1"/>
    <col min="44" max="16384" width="9.140625" style="47"/>
  </cols>
  <sheetData>
    <row r="1" spans="1:43" s="33" customFormat="1" ht="15.75">
      <c r="A1" s="1957" t="s">
        <v>1310</v>
      </c>
      <c r="B1" s="1957"/>
      <c r="C1" s="1957"/>
      <c r="D1" s="1957"/>
      <c r="E1" s="95"/>
      <c r="F1" s="95"/>
      <c r="J1" s="1955" t="s">
        <v>315</v>
      </c>
      <c r="K1" s="1955"/>
      <c r="L1" s="1955"/>
      <c r="M1" s="1941" t="s">
        <v>314</v>
      </c>
      <c r="N1" s="1941"/>
      <c r="O1" s="1941"/>
      <c r="T1" s="1955" t="s">
        <v>366</v>
      </c>
      <c r="U1" s="1955"/>
      <c r="V1" s="1955"/>
      <c r="AF1" s="1955" t="s">
        <v>315</v>
      </c>
      <c r="AG1" s="1955"/>
      <c r="AH1" s="1941" t="s">
        <v>314</v>
      </c>
      <c r="AI1" s="1941"/>
      <c r="AJ1" s="1941"/>
      <c r="AO1" s="1955" t="s">
        <v>543</v>
      </c>
      <c r="AP1" s="1955"/>
      <c r="AQ1" s="1955"/>
    </row>
    <row r="2" spans="1:43" s="31" customFormat="1" ht="11.25" customHeight="1">
      <c r="A2" s="96"/>
      <c r="B2" s="96"/>
      <c r="C2" s="96"/>
      <c r="D2" s="96"/>
      <c r="E2" s="97"/>
      <c r="F2" s="97"/>
      <c r="G2" s="98"/>
      <c r="H2" s="98"/>
      <c r="I2" s="98"/>
      <c r="M2" s="98"/>
      <c r="N2" s="98"/>
      <c r="T2" s="96"/>
      <c r="U2" s="1947" t="s">
        <v>42</v>
      </c>
      <c r="V2" s="1947"/>
      <c r="AP2" s="1947" t="s">
        <v>42</v>
      </c>
      <c r="AQ2" s="1947"/>
    </row>
    <row r="3" spans="1:43" s="184" customFormat="1" ht="13.5" customHeight="1">
      <c r="A3" s="1956" t="s">
        <v>39</v>
      </c>
      <c r="B3" s="1951" t="s">
        <v>451</v>
      </c>
      <c r="C3" s="1942"/>
      <c r="D3" s="1942"/>
      <c r="E3" s="1942"/>
      <c r="F3" s="1942"/>
      <c r="G3" s="1942"/>
      <c r="H3" s="1942"/>
      <c r="I3" s="1942"/>
      <c r="J3" s="1942"/>
      <c r="K3" s="1942"/>
      <c r="L3" s="1943"/>
      <c r="M3" s="1951" t="s">
        <v>452</v>
      </c>
      <c r="N3" s="1942"/>
      <c r="O3" s="1942"/>
      <c r="P3" s="1942"/>
      <c r="Q3" s="1942"/>
      <c r="R3" s="1942"/>
      <c r="S3" s="1942"/>
      <c r="T3" s="1942"/>
      <c r="U3" s="1943"/>
      <c r="V3" s="1956" t="s">
        <v>39</v>
      </c>
      <c r="W3" s="1948" t="s">
        <v>39</v>
      </c>
      <c r="X3" s="1951" t="s">
        <v>453</v>
      </c>
      <c r="Y3" s="1942"/>
      <c r="Z3" s="1942"/>
      <c r="AA3" s="1942"/>
      <c r="AB3" s="1942"/>
      <c r="AC3" s="1942"/>
      <c r="AD3" s="1942"/>
      <c r="AE3" s="1942"/>
      <c r="AF3" s="1942"/>
      <c r="AG3" s="1942"/>
      <c r="AH3" s="1942"/>
      <c r="AI3" s="1942" t="s">
        <v>454</v>
      </c>
      <c r="AJ3" s="1942"/>
      <c r="AK3" s="1942"/>
      <c r="AL3" s="1942"/>
      <c r="AM3" s="1942"/>
      <c r="AN3" s="1942"/>
      <c r="AO3" s="1943"/>
      <c r="AP3" s="1944" t="s">
        <v>1996</v>
      </c>
      <c r="AQ3" s="1956" t="s">
        <v>1132</v>
      </c>
    </row>
    <row r="4" spans="1:43" s="125" customFormat="1" ht="11.25" customHeight="1">
      <c r="A4" s="1949"/>
      <c r="B4" s="1964" t="s">
        <v>2020</v>
      </c>
      <c r="C4" s="1959" t="s">
        <v>269</v>
      </c>
      <c r="D4" s="1958" t="s">
        <v>270</v>
      </c>
      <c r="E4" s="1958" t="s">
        <v>1636</v>
      </c>
      <c r="F4" s="1958" t="s">
        <v>271</v>
      </c>
      <c r="G4" s="1961" t="s">
        <v>1637</v>
      </c>
      <c r="H4" s="1959" t="s">
        <v>1638</v>
      </c>
      <c r="I4" s="1958" t="s">
        <v>1639</v>
      </c>
      <c r="J4" s="1958" t="s">
        <v>1640</v>
      </c>
      <c r="K4" s="1958" t="s">
        <v>1343</v>
      </c>
      <c r="L4" s="1967" t="s">
        <v>540</v>
      </c>
      <c r="M4" s="1960" t="s">
        <v>1142</v>
      </c>
      <c r="N4" s="1960"/>
      <c r="O4" s="1960"/>
      <c r="P4" s="1960"/>
      <c r="Q4" s="1960" t="s">
        <v>536</v>
      </c>
      <c r="R4" s="1960"/>
      <c r="S4" s="1960"/>
      <c r="T4" s="1960"/>
      <c r="U4" s="1960"/>
      <c r="V4" s="1949"/>
      <c r="W4" s="1949"/>
      <c r="X4" s="1952" t="s">
        <v>542</v>
      </c>
      <c r="Y4" s="1953"/>
      <c r="Z4" s="1953"/>
      <c r="AA4" s="1953"/>
      <c r="AB4" s="1953"/>
      <c r="AC4" s="1953"/>
      <c r="AD4" s="1953"/>
      <c r="AE4" s="1953"/>
      <c r="AF4" s="1953"/>
      <c r="AG4" s="1953"/>
      <c r="AH4" s="1953"/>
      <c r="AI4" s="1953"/>
      <c r="AJ4" s="1953"/>
      <c r="AK4" s="1953"/>
      <c r="AL4" s="1953"/>
      <c r="AM4" s="1953"/>
      <c r="AN4" s="1953"/>
      <c r="AO4" s="1954"/>
      <c r="AP4" s="1945"/>
      <c r="AQ4" s="1949"/>
    </row>
    <row r="5" spans="1:43" s="100" customFormat="1" ht="44.25" customHeight="1">
      <c r="A5" s="1949"/>
      <c r="B5" s="1964"/>
      <c r="C5" s="1959"/>
      <c r="D5" s="1958"/>
      <c r="E5" s="1958"/>
      <c r="F5" s="1958"/>
      <c r="G5" s="1962"/>
      <c r="H5" s="1959"/>
      <c r="I5" s="1958"/>
      <c r="J5" s="1958"/>
      <c r="K5" s="1958"/>
      <c r="L5" s="1967"/>
      <c r="M5" s="1963" t="s">
        <v>1143</v>
      </c>
      <c r="N5" s="1964"/>
      <c r="O5" s="45" t="s">
        <v>1144</v>
      </c>
      <c r="P5" s="45" t="s">
        <v>1339</v>
      </c>
      <c r="Q5" s="45" t="s">
        <v>2769</v>
      </c>
      <c r="R5" s="45" t="s">
        <v>1145</v>
      </c>
      <c r="S5" s="45" t="s">
        <v>1641</v>
      </c>
      <c r="T5" s="45" t="s">
        <v>1642</v>
      </c>
      <c r="U5" s="195" t="s">
        <v>1698</v>
      </c>
      <c r="V5" s="1949"/>
      <c r="W5" s="1949"/>
      <c r="X5" s="196" t="s">
        <v>1265</v>
      </c>
      <c r="Y5" s="250" t="s">
        <v>289</v>
      </c>
      <c r="Z5" s="250" t="s">
        <v>1993</v>
      </c>
      <c r="AA5" s="250" t="s">
        <v>1696</v>
      </c>
      <c r="AB5" s="250" t="s">
        <v>1643</v>
      </c>
      <c r="AC5" s="250" t="s">
        <v>538</v>
      </c>
      <c r="AD5" s="250" t="s">
        <v>1640</v>
      </c>
      <c r="AE5" s="250" t="s">
        <v>290</v>
      </c>
      <c r="AF5" s="252" t="s">
        <v>541</v>
      </c>
      <c r="AG5" s="250" t="s">
        <v>291</v>
      </c>
      <c r="AH5" s="250" t="s">
        <v>1146</v>
      </c>
      <c r="AI5" s="251" t="s">
        <v>1644</v>
      </c>
      <c r="AJ5" s="45" t="s">
        <v>1645</v>
      </c>
      <c r="AK5" s="45" t="s">
        <v>1646</v>
      </c>
      <c r="AL5" s="45" t="s">
        <v>539</v>
      </c>
      <c r="AM5" s="45" t="s">
        <v>1697</v>
      </c>
      <c r="AN5" s="45" t="s">
        <v>1995</v>
      </c>
      <c r="AO5" s="195" t="s">
        <v>1994</v>
      </c>
      <c r="AP5" s="1946"/>
      <c r="AQ5" s="1949"/>
    </row>
    <row r="6" spans="1:43" s="107" customFormat="1" ht="12" customHeight="1">
      <c r="A6" s="1950"/>
      <c r="B6" s="102">
        <v>1</v>
      </c>
      <c r="C6" s="84">
        <v>2</v>
      </c>
      <c r="D6" s="84">
        <v>3</v>
      </c>
      <c r="E6" s="84">
        <v>4</v>
      </c>
      <c r="F6" s="84">
        <v>5</v>
      </c>
      <c r="G6" s="84">
        <v>6</v>
      </c>
      <c r="H6" s="84">
        <v>7</v>
      </c>
      <c r="I6" s="84">
        <v>8</v>
      </c>
      <c r="J6" s="84">
        <v>9</v>
      </c>
      <c r="K6" s="84">
        <v>10</v>
      </c>
      <c r="L6" s="84">
        <v>11</v>
      </c>
      <c r="M6" s="85">
        <v>12</v>
      </c>
      <c r="N6" s="108"/>
      <c r="O6" s="84">
        <v>13</v>
      </c>
      <c r="P6" s="84" t="s">
        <v>1340</v>
      </c>
      <c r="Q6" s="84">
        <v>15</v>
      </c>
      <c r="R6" s="84">
        <v>16</v>
      </c>
      <c r="S6" s="84">
        <v>17</v>
      </c>
      <c r="T6" s="84">
        <v>18</v>
      </c>
      <c r="U6" s="85">
        <v>19</v>
      </c>
      <c r="V6" s="1950"/>
      <c r="W6" s="1950"/>
      <c r="X6" s="102">
        <v>20</v>
      </c>
      <c r="Y6" s="84">
        <v>21</v>
      </c>
      <c r="Z6" s="84">
        <v>22</v>
      </c>
      <c r="AA6" s="84">
        <v>23</v>
      </c>
      <c r="AB6" s="84">
        <v>24</v>
      </c>
      <c r="AC6" s="84">
        <v>25</v>
      </c>
      <c r="AD6" s="84">
        <v>26</v>
      </c>
      <c r="AE6" s="84">
        <v>27</v>
      </c>
      <c r="AF6" s="84">
        <v>28</v>
      </c>
      <c r="AG6" s="84">
        <v>29</v>
      </c>
      <c r="AH6" s="84">
        <v>30</v>
      </c>
      <c r="AI6" s="84">
        <v>31</v>
      </c>
      <c r="AJ6" s="84">
        <v>32</v>
      </c>
      <c r="AK6" s="84">
        <v>33</v>
      </c>
      <c r="AL6" s="84">
        <v>34</v>
      </c>
      <c r="AM6" s="84">
        <v>35</v>
      </c>
      <c r="AN6" s="84">
        <v>36</v>
      </c>
      <c r="AO6" s="84" t="s">
        <v>1341</v>
      </c>
      <c r="AP6" s="103" t="s">
        <v>1342</v>
      </c>
      <c r="AQ6" s="1950"/>
    </row>
    <row r="7" spans="1:43" s="90" customFormat="1" ht="9.9499999999999993" hidden="1" customHeight="1">
      <c r="A7" s="253" t="s">
        <v>1196</v>
      </c>
      <c r="B7" s="255">
        <v>294</v>
      </c>
      <c r="C7" s="255">
        <v>1240</v>
      </c>
      <c r="D7" s="255">
        <v>115</v>
      </c>
      <c r="E7" s="255">
        <v>897</v>
      </c>
      <c r="F7" s="255">
        <v>1311</v>
      </c>
      <c r="G7" s="255">
        <v>8195</v>
      </c>
      <c r="H7" s="255">
        <v>49</v>
      </c>
      <c r="I7" s="255" t="s">
        <v>104</v>
      </c>
      <c r="J7" s="255">
        <v>12</v>
      </c>
      <c r="K7" s="255">
        <v>1744</v>
      </c>
      <c r="L7" s="255">
        <f t="shared" ref="L7:L17" si="0">SUM(B7:K7)</f>
        <v>13857</v>
      </c>
      <c r="M7" s="255">
        <v>1462</v>
      </c>
      <c r="N7" s="255"/>
      <c r="O7" s="255">
        <v>931</v>
      </c>
      <c r="P7" s="255">
        <f t="shared" ref="P7:P17" si="1">M7+O7</f>
        <v>2393</v>
      </c>
      <c r="Q7" s="255">
        <v>217</v>
      </c>
      <c r="R7" s="255">
        <v>94</v>
      </c>
      <c r="S7" s="255">
        <v>364</v>
      </c>
      <c r="T7" s="255">
        <v>731</v>
      </c>
      <c r="U7" s="255">
        <v>98</v>
      </c>
      <c r="V7" s="254" t="s">
        <v>1196</v>
      </c>
      <c r="W7" s="253" t="s">
        <v>1196</v>
      </c>
      <c r="X7" s="38">
        <v>25</v>
      </c>
      <c r="Y7" s="38">
        <v>102</v>
      </c>
      <c r="Z7" s="38">
        <v>678</v>
      </c>
      <c r="AA7" s="38">
        <v>1184</v>
      </c>
      <c r="AB7" s="38">
        <v>821</v>
      </c>
      <c r="AC7" s="38">
        <v>82</v>
      </c>
      <c r="AD7" s="38">
        <v>396</v>
      </c>
      <c r="AE7" s="38">
        <v>225</v>
      </c>
      <c r="AF7" s="38" t="s">
        <v>292</v>
      </c>
      <c r="AG7" s="38">
        <v>756</v>
      </c>
      <c r="AH7" s="38">
        <v>1209</v>
      </c>
      <c r="AI7" s="38">
        <v>4260</v>
      </c>
      <c r="AJ7" s="38">
        <v>176</v>
      </c>
      <c r="AK7" s="38">
        <v>1315</v>
      </c>
      <c r="AL7" s="38">
        <v>1221</v>
      </c>
      <c r="AM7" s="38">
        <v>11198</v>
      </c>
      <c r="AN7" s="38">
        <v>25911</v>
      </c>
      <c r="AO7" s="255">
        <f t="shared" ref="AO7:AO17" si="2">P7+AN7</f>
        <v>28304</v>
      </c>
      <c r="AP7" s="255">
        <f t="shared" ref="AP7:AP17" si="3">L7-AO7</f>
        <v>-14447</v>
      </c>
      <c r="AQ7" s="113" t="s">
        <v>152</v>
      </c>
    </row>
    <row r="8" spans="1:43" s="90" customFormat="1" ht="9.9499999999999993" hidden="1" customHeight="1">
      <c r="A8" s="573" t="s">
        <v>1197</v>
      </c>
      <c r="B8" s="574">
        <v>538</v>
      </c>
      <c r="C8" s="574">
        <v>1330</v>
      </c>
      <c r="D8" s="574">
        <v>150</v>
      </c>
      <c r="E8" s="574">
        <v>898</v>
      </c>
      <c r="F8" s="574">
        <v>1397</v>
      </c>
      <c r="G8" s="574">
        <v>9893</v>
      </c>
      <c r="H8" s="574">
        <v>41</v>
      </c>
      <c r="I8" s="574" t="s">
        <v>104</v>
      </c>
      <c r="J8" s="574">
        <v>5</v>
      </c>
      <c r="K8" s="574">
        <v>2312</v>
      </c>
      <c r="L8" s="574">
        <f t="shared" si="0"/>
        <v>16564</v>
      </c>
      <c r="M8" s="574">
        <v>119</v>
      </c>
      <c r="N8" s="574"/>
      <c r="O8" s="574">
        <v>666</v>
      </c>
      <c r="P8" s="574">
        <f t="shared" si="1"/>
        <v>785</v>
      </c>
      <c r="Q8" s="574">
        <v>226</v>
      </c>
      <c r="R8" s="574">
        <v>43</v>
      </c>
      <c r="S8" s="574">
        <v>265</v>
      </c>
      <c r="T8" s="574">
        <v>922</v>
      </c>
      <c r="U8" s="574">
        <v>231</v>
      </c>
      <c r="V8" s="575" t="s">
        <v>1197</v>
      </c>
      <c r="W8" s="573" t="s">
        <v>1197</v>
      </c>
      <c r="X8" s="576">
        <v>209</v>
      </c>
      <c r="Y8" s="576">
        <v>141</v>
      </c>
      <c r="Z8" s="576">
        <v>743</v>
      </c>
      <c r="AA8" s="576">
        <v>1456</v>
      </c>
      <c r="AB8" s="576">
        <v>1097</v>
      </c>
      <c r="AC8" s="576">
        <v>95</v>
      </c>
      <c r="AD8" s="576">
        <v>641</v>
      </c>
      <c r="AE8" s="576">
        <v>265</v>
      </c>
      <c r="AF8" s="576" t="s">
        <v>293</v>
      </c>
      <c r="AG8" s="576">
        <v>833</v>
      </c>
      <c r="AH8" s="576">
        <v>1687</v>
      </c>
      <c r="AI8" s="576">
        <v>4689</v>
      </c>
      <c r="AJ8" s="576">
        <v>192</v>
      </c>
      <c r="AK8" s="576">
        <v>1866</v>
      </c>
      <c r="AL8" s="576">
        <v>1422</v>
      </c>
      <c r="AM8" s="576">
        <v>11957</v>
      </c>
      <c r="AN8" s="576">
        <v>29755</v>
      </c>
      <c r="AO8" s="574">
        <f t="shared" si="2"/>
        <v>30540</v>
      </c>
      <c r="AP8" s="574">
        <f t="shared" si="3"/>
        <v>-13976</v>
      </c>
      <c r="AQ8" s="553" t="s">
        <v>153</v>
      </c>
    </row>
    <row r="9" spans="1:43" s="90" customFormat="1" ht="9.9499999999999993" hidden="1" customHeight="1">
      <c r="A9" s="253" t="s">
        <v>1198</v>
      </c>
      <c r="B9" s="255">
        <v>484</v>
      </c>
      <c r="C9" s="255">
        <v>1328</v>
      </c>
      <c r="D9" s="255">
        <v>207</v>
      </c>
      <c r="E9" s="255">
        <v>810</v>
      </c>
      <c r="F9" s="255">
        <v>1491</v>
      </c>
      <c r="G9" s="255">
        <v>12617</v>
      </c>
      <c r="H9" s="255">
        <v>10</v>
      </c>
      <c r="I9" s="255" t="s">
        <v>104</v>
      </c>
      <c r="J9" s="255">
        <v>58</v>
      </c>
      <c r="K9" s="255">
        <v>3388</v>
      </c>
      <c r="L9" s="255">
        <f t="shared" si="0"/>
        <v>20393</v>
      </c>
      <c r="M9" s="255">
        <v>1123</v>
      </c>
      <c r="N9" s="255"/>
      <c r="O9" s="255">
        <v>555</v>
      </c>
      <c r="P9" s="255">
        <f t="shared" si="1"/>
        <v>1678</v>
      </c>
      <c r="Q9" s="255">
        <v>205</v>
      </c>
      <c r="R9" s="255">
        <v>45</v>
      </c>
      <c r="S9" s="255">
        <v>423</v>
      </c>
      <c r="T9" s="255">
        <v>982</v>
      </c>
      <c r="U9" s="255">
        <v>200</v>
      </c>
      <c r="V9" s="254" t="s">
        <v>1198</v>
      </c>
      <c r="W9" s="253" t="s">
        <v>1198</v>
      </c>
      <c r="X9" s="38">
        <v>132</v>
      </c>
      <c r="Y9" s="38">
        <v>159</v>
      </c>
      <c r="Z9" s="38">
        <v>636</v>
      </c>
      <c r="AA9" s="38">
        <v>1341</v>
      </c>
      <c r="AB9" s="38">
        <v>1127</v>
      </c>
      <c r="AC9" s="38">
        <v>123</v>
      </c>
      <c r="AD9" s="38">
        <v>491</v>
      </c>
      <c r="AE9" s="38">
        <v>300</v>
      </c>
      <c r="AF9" s="38" t="s">
        <v>294</v>
      </c>
      <c r="AG9" s="38">
        <v>941</v>
      </c>
      <c r="AH9" s="38">
        <v>1486</v>
      </c>
      <c r="AI9" s="38">
        <v>5746</v>
      </c>
      <c r="AJ9" s="38">
        <v>218</v>
      </c>
      <c r="AK9" s="38">
        <v>1778</v>
      </c>
      <c r="AL9" s="38">
        <v>1293</v>
      </c>
      <c r="AM9" s="38">
        <v>13950</v>
      </c>
      <c r="AN9" s="38">
        <v>32505</v>
      </c>
      <c r="AO9" s="255">
        <f t="shared" si="2"/>
        <v>34183</v>
      </c>
      <c r="AP9" s="255">
        <f t="shared" si="3"/>
        <v>-13790</v>
      </c>
      <c r="AQ9" s="113" t="s">
        <v>154</v>
      </c>
    </row>
    <row r="10" spans="1:43" s="90" customFormat="1" ht="9.9499999999999993" hidden="1" customHeight="1">
      <c r="A10" s="573" t="s">
        <v>1199</v>
      </c>
      <c r="B10" s="574">
        <v>270</v>
      </c>
      <c r="C10" s="574">
        <v>1168</v>
      </c>
      <c r="D10" s="574">
        <v>150</v>
      </c>
      <c r="E10" s="574">
        <v>767</v>
      </c>
      <c r="F10" s="574">
        <v>1483</v>
      </c>
      <c r="G10" s="574">
        <v>12976</v>
      </c>
      <c r="H10" s="574">
        <v>15</v>
      </c>
      <c r="I10" s="574" t="s">
        <v>104</v>
      </c>
      <c r="J10" s="574">
        <v>59</v>
      </c>
      <c r="K10" s="574">
        <v>3963</v>
      </c>
      <c r="L10" s="574">
        <f t="shared" si="0"/>
        <v>20851</v>
      </c>
      <c r="M10" s="574">
        <v>3268</v>
      </c>
      <c r="N10" s="574"/>
      <c r="O10" s="574">
        <v>154</v>
      </c>
      <c r="P10" s="574">
        <f t="shared" si="1"/>
        <v>3422</v>
      </c>
      <c r="Q10" s="574">
        <v>269</v>
      </c>
      <c r="R10" s="574">
        <v>130</v>
      </c>
      <c r="S10" s="574">
        <v>481</v>
      </c>
      <c r="T10" s="574">
        <v>1379</v>
      </c>
      <c r="U10" s="574">
        <v>341</v>
      </c>
      <c r="V10" s="575" t="s">
        <v>1199</v>
      </c>
      <c r="W10" s="573" t="s">
        <v>1199</v>
      </c>
      <c r="X10" s="576">
        <v>202</v>
      </c>
      <c r="Y10" s="576">
        <v>183</v>
      </c>
      <c r="Z10" s="576">
        <v>567</v>
      </c>
      <c r="AA10" s="576">
        <v>1298</v>
      </c>
      <c r="AB10" s="576">
        <v>1202</v>
      </c>
      <c r="AC10" s="576">
        <v>139</v>
      </c>
      <c r="AD10" s="576">
        <v>577</v>
      </c>
      <c r="AE10" s="576">
        <v>317</v>
      </c>
      <c r="AF10" s="576" t="s">
        <v>295</v>
      </c>
      <c r="AG10" s="576">
        <v>1120</v>
      </c>
      <c r="AH10" s="576">
        <v>1360</v>
      </c>
      <c r="AI10" s="576">
        <v>5330</v>
      </c>
      <c r="AJ10" s="576">
        <v>187</v>
      </c>
      <c r="AK10" s="576">
        <v>1658</v>
      </c>
      <c r="AL10" s="576">
        <v>1411</v>
      </c>
      <c r="AM10" s="576">
        <v>15942</v>
      </c>
      <c r="AN10" s="576">
        <v>35058</v>
      </c>
      <c r="AO10" s="574">
        <f t="shared" si="2"/>
        <v>38480</v>
      </c>
      <c r="AP10" s="574">
        <f t="shared" si="3"/>
        <v>-17629</v>
      </c>
      <c r="AQ10" s="553" t="s">
        <v>155</v>
      </c>
    </row>
    <row r="11" spans="1:43" s="90" customFormat="1" ht="9.9499999999999993" hidden="1" customHeight="1">
      <c r="A11" s="253" t="s">
        <v>1200</v>
      </c>
      <c r="B11" s="255">
        <v>370</v>
      </c>
      <c r="C11" s="255">
        <v>1131</v>
      </c>
      <c r="D11" s="255">
        <v>86</v>
      </c>
      <c r="E11" s="255">
        <v>760</v>
      </c>
      <c r="F11" s="255">
        <v>1813</v>
      </c>
      <c r="G11" s="255">
        <v>15724</v>
      </c>
      <c r="H11" s="255">
        <v>57</v>
      </c>
      <c r="I11" s="255"/>
      <c r="J11" s="255"/>
      <c r="K11" s="255">
        <v>4982</v>
      </c>
      <c r="L11" s="255">
        <f t="shared" si="0"/>
        <v>24923</v>
      </c>
      <c r="M11" s="255">
        <v>579</v>
      </c>
      <c r="N11" s="255"/>
      <c r="O11" s="255">
        <v>1338</v>
      </c>
      <c r="P11" s="255">
        <f t="shared" si="1"/>
        <v>1917</v>
      </c>
      <c r="Q11" s="255">
        <v>302</v>
      </c>
      <c r="R11" s="255">
        <v>90</v>
      </c>
      <c r="S11" s="255">
        <v>453</v>
      </c>
      <c r="T11" s="255">
        <v>1288</v>
      </c>
      <c r="U11" s="255">
        <v>569</v>
      </c>
      <c r="V11" s="254" t="s">
        <v>1200</v>
      </c>
      <c r="W11" s="253" t="s">
        <v>1200</v>
      </c>
      <c r="X11" s="38">
        <v>151</v>
      </c>
      <c r="Y11" s="38">
        <v>297</v>
      </c>
      <c r="Z11" s="38">
        <v>1167</v>
      </c>
      <c r="AA11" s="38">
        <v>2043</v>
      </c>
      <c r="AB11" s="38">
        <v>1398</v>
      </c>
      <c r="AC11" s="38">
        <v>135</v>
      </c>
      <c r="AD11" s="38">
        <v>705</v>
      </c>
      <c r="AE11" s="38">
        <v>357</v>
      </c>
      <c r="AF11" s="38" t="s">
        <v>296</v>
      </c>
      <c r="AG11" s="38">
        <v>1394</v>
      </c>
      <c r="AH11" s="38">
        <v>1509</v>
      </c>
      <c r="AI11" s="38">
        <v>5801</v>
      </c>
      <c r="AJ11" s="38">
        <v>216</v>
      </c>
      <c r="AK11" s="38">
        <v>1977</v>
      </c>
      <c r="AL11" s="38">
        <v>1579</v>
      </c>
      <c r="AM11" s="38">
        <v>17624</v>
      </c>
      <c r="AN11" s="38">
        <v>40214</v>
      </c>
      <c r="AO11" s="255">
        <f t="shared" si="2"/>
        <v>42131</v>
      </c>
      <c r="AP11" s="255">
        <f t="shared" si="3"/>
        <v>-17208</v>
      </c>
      <c r="AQ11" s="113" t="s">
        <v>156</v>
      </c>
    </row>
    <row r="12" spans="1:43" s="90" customFormat="1" ht="9.9499999999999993" hidden="1" customHeight="1">
      <c r="A12" s="573" t="s">
        <v>1201</v>
      </c>
      <c r="B12" s="574">
        <v>402</v>
      </c>
      <c r="C12" s="574">
        <v>1274</v>
      </c>
      <c r="D12" s="574">
        <v>119</v>
      </c>
      <c r="E12" s="574">
        <v>1364</v>
      </c>
      <c r="F12" s="574">
        <v>2036</v>
      </c>
      <c r="G12" s="574">
        <v>20265</v>
      </c>
      <c r="H12" s="574">
        <v>56</v>
      </c>
      <c r="I12" s="574" t="s">
        <v>104</v>
      </c>
      <c r="J12" s="574">
        <v>6</v>
      </c>
      <c r="K12" s="574">
        <v>6897</v>
      </c>
      <c r="L12" s="574">
        <f t="shared" si="0"/>
        <v>32419</v>
      </c>
      <c r="M12" s="574">
        <v>925</v>
      </c>
      <c r="N12" s="574"/>
      <c r="O12" s="574">
        <v>955</v>
      </c>
      <c r="P12" s="574">
        <f t="shared" si="1"/>
        <v>1880</v>
      </c>
      <c r="Q12" s="574">
        <v>333</v>
      </c>
      <c r="R12" s="574">
        <v>78</v>
      </c>
      <c r="S12" s="574">
        <v>347</v>
      </c>
      <c r="T12" s="574">
        <v>1175</v>
      </c>
      <c r="U12" s="574">
        <v>464</v>
      </c>
      <c r="V12" s="575" t="s">
        <v>1201</v>
      </c>
      <c r="W12" s="573" t="s">
        <v>1201</v>
      </c>
      <c r="X12" s="576">
        <v>250</v>
      </c>
      <c r="Y12" s="576">
        <v>572</v>
      </c>
      <c r="Z12" s="576">
        <v>1471</v>
      </c>
      <c r="AA12" s="576">
        <v>3055</v>
      </c>
      <c r="AB12" s="576">
        <v>1828</v>
      </c>
      <c r="AC12" s="576">
        <v>179</v>
      </c>
      <c r="AD12" s="576">
        <v>698</v>
      </c>
      <c r="AE12" s="576">
        <v>488</v>
      </c>
      <c r="AF12" s="576" t="s">
        <v>297</v>
      </c>
      <c r="AG12" s="576">
        <v>1941</v>
      </c>
      <c r="AH12" s="576">
        <v>1739</v>
      </c>
      <c r="AI12" s="576">
        <v>6968</v>
      </c>
      <c r="AJ12" s="576">
        <v>212</v>
      </c>
      <c r="AK12" s="576">
        <v>2502</v>
      </c>
      <c r="AL12" s="576">
        <v>2599</v>
      </c>
      <c r="AM12" s="576">
        <v>20181</v>
      </c>
      <c r="AN12" s="576">
        <v>48491</v>
      </c>
      <c r="AO12" s="574">
        <f t="shared" si="2"/>
        <v>50371</v>
      </c>
      <c r="AP12" s="574">
        <f t="shared" si="3"/>
        <v>-17952</v>
      </c>
      <c r="AQ12" s="553" t="s">
        <v>1258</v>
      </c>
    </row>
    <row r="13" spans="1:43" s="90" customFormat="1" ht="9.9499999999999993" hidden="1" customHeight="1">
      <c r="A13" s="253" t="s">
        <v>1202</v>
      </c>
      <c r="B13" s="255">
        <v>379</v>
      </c>
      <c r="C13" s="255">
        <v>1398</v>
      </c>
      <c r="D13" s="255">
        <v>91</v>
      </c>
      <c r="E13" s="255">
        <v>1309</v>
      </c>
      <c r="F13" s="255">
        <v>1689</v>
      </c>
      <c r="G13" s="255">
        <v>19270</v>
      </c>
      <c r="H13" s="255">
        <v>65</v>
      </c>
      <c r="I13" s="255" t="s">
        <v>104</v>
      </c>
      <c r="J13" s="255" t="s">
        <v>104</v>
      </c>
      <c r="K13" s="255">
        <v>6733</v>
      </c>
      <c r="L13" s="255">
        <f t="shared" si="0"/>
        <v>30934</v>
      </c>
      <c r="M13" s="255">
        <v>87</v>
      </c>
      <c r="N13" s="255"/>
      <c r="O13" s="255">
        <v>983</v>
      </c>
      <c r="P13" s="255">
        <f t="shared" si="1"/>
        <v>1070</v>
      </c>
      <c r="Q13" s="255">
        <v>339</v>
      </c>
      <c r="R13" s="255">
        <v>72</v>
      </c>
      <c r="S13" s="255">
        <v>412</v>
      </c>
      <c r="T13" s="255">
        <v>1439</v>
      </c>
      <c r="U13" s="255">
        <v>505</v>
      </c>
      <c r="V13" s="254" t="s">
        <v>1202</v>
      </c>
      <c r="W13" s="253" t="s">
        <v>1202</v>
      </c>
      <c r="X13" s="38">
        <v>135</v>
      </c>
      <c r="Y13" s="38">
        <v>862</v>
      </c>
      <c r="Z13" s="38">
        <v>1391</v>
      </c>
      <c r="AA13" s="38">
        <v>2764</v>
      </c>
      <c r="AB13" s="38">
        <v>1923</v>
      </c>
      <c r="AC13" s="38">
        <v>224</v>
      </c>
      <c r="AD13" s="38">
        <v>615</v>
      </c>
      <c r="AE13" s="38">
        <v>503</v>
      </c>
      <c r="AF13" s="38" t="s">
        <v>298</v>
      </c>
      <c r="AG13" s="38">
        <v>1794</v>
      </c>
      <c r="AH13" s="38">
        <v>1622</v>
      </c>
      <c r="AI13" s="38">
        <v>6102</v>
      </c>
      <c r="AJ13" s="38">
        <v>226</v>
      </c>
      <c r="AK13" s="38">
        <v>2372</v>
      </c>
      <c r="AL13" s="38">
        <v>3184</v>
      </c>
      <c r="AM13" s="38">
        <v>20060</v>
      </c>
      <c r="AN13" s="38">
        <v>47979</v>
      </c>
      <c r="AO13" s="255">
        <f t="shared" si="2"/>
        <v>49049</v>
      </c>
      <c r="AP13" s="255">
        <f t="shared" si="3"/>
        <v>-18115</v>
      </c>
      <c r="AQ13" s="113" t="s">
        <v>1259</v>
      </c>
    </row>
    <row r="14" spans="1:43" s="90" customFormat="1" ht="9.9499999999999993" hidden="1" customHeight="1">
      <c r="A14" s="573" t="s">
        <v>1203</v>
      </c>
      <c r="B14" s="574">
        <v>401</v>
      </c>
      <c r="C14" s="574">
        <v>1272</v>
      </c>
      <c r="D14" s="574">
        <v>77</v>
      </c>
      <c r="E14" s="574">
        <v>1229</v>
      </c>
      <c r="F14" s="574">
        <v>1859</v>
      </c>
      <c r="G14" s="574">
        <v>20852</v>
      </c>
      <c r="H14" s="574">
        <v>136</v>
      </c>
      <c r="I14" s="574" t="s">
        <v>104</v>
      </c>
      <c r="J14" s="574" t="s">
        <v>104</v>
      </c>
      <c r="K14" s="574">
        <v>7416</v>
      </c>
      <c r="L14" s="574">
        <f t="shared" si="0"/>
        <v>33242</v>
      </c>
      <c r="M14" s="574">
        <v>1220</v>
      </c>
      <c r="N14" s="574"/>
      <c r="O14" s="574">
        <v>1145</v>
      </c>
      <c r="P14" s="574">
        <f t="shared" si="1"/>
        <v>2365</v>
      </c>
      <c r="Q14" s="574">
        <v>353</v>
      </c>
      <c r="R14" s="574">
        <v>185</v>
      </c>
      <c r="S14" s="574">
        <v>369</v>
      </c>
      <c r="T14" s="574">
        <v>2110</v>
      </c>
      <c r="U14" s="574">
        <v>840</v>
      </c>
      <c r="V14" s="575" t="s">
        <v>1203</v>
      </c>
      <c r="W14" s="573" t="s">
        <v>1203</v>
      </c>
      <c r="X14" s="576">
        <v>601</v>
      </c>
      <c r="Y14" s="576">
        <v>834</v>
      </c>
      <c r="Z14" s="576">
        <v>1545</v>
      </c>
      <c r="AA14" s="576">
        <v>3588</v>
      </c>
      <c r="AB14" s="576">
        <v>2042</v>
      </c>
      <c r="AC14" s="576">
        <v>258</v>
      </c>
      <c r="AD14" s="576">
        <v>630</v>
      </c>
      <c r="AE14" s="576">
        <v>500</v>
      </c>
      <c r="AF14" s="576" t="s">
        <v>299</v>
      </c>
      <c r="AG14" s="576">
        <v>2274</v>
      </c>
      <c r="AH14" s="576">
        <v>1561</v>
      </c>
      <c r="AI14" s="576">
        <v>6406</v>
      </c>
      <c r="AJ14" s="576">
        <v>239</v>
      </c>
      <c r="AK14" s="576">
        <v>2634</v>
      </c>
      <c r="AL14" s="576">
        <v>3172</v>
      </c>
      <c r="AM14" s="576">
        <v>21785</v>
      </c>
      <c r="AN14" s="576">
        <v>53553</v>
      </c>
      <c r="AO14" s="574">
        <f t="shared" si="2"/>
        <v>55918</v>
      </c>
      <c r="AP14" s="574">
        <f t="shared" si="3"/>
        <v>-22676</v>
      </c>
      <c r="AQ14" s="553" t="s">
        <v>226</v>
      </c>
    </row>
    <row r="15" spans="1:43" s="90" customFormat="1" ht="9.9499999999999993" hidden="1" customHeight="1">
      <c r="A15" s="253" t="s">
        <v>1204</v>
      </c>
      <c r="B15" s="255">
        <v>454</v>
      </c>
      <c r="C15" s="255">
        <v>1271</v>
      </c>
      <c r="D15" s="255">
        <v>95</v>
      </c>
      <c r="E15" s="255">
        <v>1441</v>
      </c>
      <c r="F15" s="255">
        <v>2284</v>
      </c>
      <c r="G15" s="255">
        <v>26189</v>
      </c>
      <c r="H15" s="255">
        <v>152</v>
      </c>
      <c r="I15" s="255" t="s">
        <v>104</v>
      </c>
      <c r="J15" s="255" t="s">
        <v>104</v>
      </c>
      <c r="K15" s="255">
        <v>8695</v>
      </c>
      <c r="L15" s="255">
        <f t="shared" si="0"/>
        <v>40581</v>
      </c>
      <c r="M15" s="255">
        <v>842</v>
      </c>
      <c r="N15" s="255"/>
      <c r="O15" s="255">
        <v>1690</v>
      </c>
      <c r="P15" s="255">
        <f t="shared" si="1"/>
        <v>2532</v>
      </c>
      <c r="Q15" s="255">
        <v>359</v>
      </c>
      <c r="R15" s="255">
        <v>177</v>
      </c>
      <c r="S15" s="255">
        <v>434</v>
      </c>
      <c r="T15" s="255">
        <v>2773</v>
      </c>
      <c r="U15" s="255">
        <v>707</v>
      </c>
      <c r="V15" s="254" t="s">
        <v>1204</v>
      </c>
      <c r="W15" s="253" t="s">
        <v>1204</v>
      </c>
      <c r="X15" s="38">
        <v>647</v>
      </c>
      <c r="Y15" s="38">
        <v>821</v>
      </c>
      <c r="Z15" s="38">
        <v>1484</v>
      </c>
      <c r="AA15" s="38">
        <v>4536</v>
      </c>
      <c r="AB15" s="38">
        <v>2394</v>
      </c>
      <c r="AC15" s="38">
        <v>267</v>
      </c>
      <c r="AD15" s="38">
        <v>882</v>
      </c>
      <c r="AE15" s="38">
        <v>644</v>
      </c>
      <c r="AF15" s="38" t="s">
        <v>300</v>
      </c>
      <c r="AG15" s="38">
        <v>3436</v>
      </c>
      <c r="AH15" s="38">
        <v>1900</v>
      </c>
      <c r="AI15" s="38">
        <v>7627</v>
      </c>
      <c r="AJ15" s="38">
        <v>339</v>
      </c>
      <c r="AK15" s="38">
        <v>2826</v>
      </c>
      <c r="AL15" s="38">
        <v>4298</v>
      </c>
      <c r="AM15" s="38">
        <v>23013</v>
      </c>
      <c r="AN15" s="38">
        <v>61725</v>
      </c>
      <c r="AO15" s="255">
        <f t="shared" si="2"/>
        <v>64257</v>
      </c>
      <c r="AP15" s="255">
        <f t="shared" si="3"/>
        <v>-23676</v>
      </c>
      <c r="AQ15" s="113" t="s">
        <v>301</v>
      </c>
    </row>
    <row r="16" spans="1:43" s="90" customFormat="1" ht="9.9499999999999993" hidden="1" customHeight="1">
      <c r="A16" s="573" t="s">
        <v>1205</v>
      </c>
      <c r="B16" s="574">
        <v>564</v>
      </c>
      <c r="C16" s="574">
        <v>1677</v>
      </c>
      <c r="D16" s="574">
        <v>94</v>
      </c>
      <c r="E16" s="574">
        <v>1608</v>
      </c>
      <c r="F16" s="574">
        <v>2576</v>
      </c>
      <c r="G16" s="574">
        <v>33333</v>
      </c>
      <c r="H16" s="574">
        <v>194</v>
      </c>
      <c r="I16" s="574" t="s">
        <v>104</v>
      </c>
      <c r="J16" s="574">
        <v>82</v>
      </c>
      <c r="K16" s="574">
        <v>10707</v>
      </c>
      <c r="L16" s="574">
        <f t="shared" si="0"/>
        <v>50835</v>
      </c>
      <c r="M16" s="574">
        <v>1627</v>
      </c>
      <c r="N16" s="574"/>
      <c r="O16" s="574">
        <v>1915</v>
      </c>
      <c r="P16" s="574">
        <f t="shared" si="1"/>
        <v>3542</v>
      </c>
      <c r="Q16" s="574">
        <v>532</v>
      </c>
      <c r="R16" s="574">
        <v>254</v>
      </c>
      <c r="S16" s="574">
        <v>526</v>
      </c>
      <c r="T16" s="574">
        <v>2698</v>
      </c>
      <c r="U16" s="574">
        <v>974</v>
      </c>
      <c r="V16" s="575" t="s">
        <v>1205</v>
      </c>
      <c r="W16" s="573" t="s">
        <v>1205</v>
      </c>
      <c r="X16" s="576" t="s">
        <v>303</v>
      </c>
      <c r="Y16" s="576" t="s">
        <v>304</v>
      </c>
      <c r="Z16" s="576" t="s">
        <v>305</v>
      </c>
      <c r="AA16" s="576" t="s">
        <v>306</v>
      </c>
      <c r="AB16" s="576" t="s">
        <v>307</v>
      </c>
      <c r="AC16" s="576" t="s">
        <v>308</v>
      </c>
      <c r="AD16" s="576" t="s">
        <v>309</v>
      </c>
      <c r="AE16" s="576">
        <v>814</v>
      </c>
      <c r="AF16" s="576">
        <v>2934</v>
      </c>
      <c r="AG16" s="576">
        <v>4096</v>
      </c>
      <c r="AH16" s="576" t="s">
        <v>310</v>
      </c>
      <c r="AI16" s="576">
        <v>9646</v>
      </c>
      <c r="AJ16" s="576">
        <v>461</v>
      </c>
      <c r="AK16" s="576">
        <v>4193</v>
      </c>
      <c r="AL16" s="576" t="s">
        <v>311</v>
      </c>
      <c r="AM16" s="576">
        <v>23209</v>
      </c>
      <c r="AN16" s="576">
        <v>77353</v>
      </c>
      <c r="AO16" s="574">
        <f t="shared" si="2"/>
        <v>80895</v>
      </c>
      <c r="AP16" s="574">
        <f t="shared" si="3"/>
        <v>-30060</v>
      </c>
      <c r="AQ16" s="553" t="s">
        <v>302</v>
      </c>
    </row>
    <row r="17" spans="1:43" s="90" customFormat="1" ht="9.9499999999999993" hidden="1" customHeight="1">
      <c r="A17" s="253" t="s">
        <v>1210</v>
      </c>
      <c r="B17" s="255">
        <v>860</v>
      </c>
      <c r="C17" s="255">
        <v>2159</v>
      </c>
      <c r="D17" s="255">
        <v>80</v>
      </c>
      <c r="E17" s="255">
        <v>1981</v>
      </c>
      <c r="F17" s="255">
        <v>2951</v>
      </c>
      <c r="G17" s="255">
        <v>40529</v>
      </c>
      <c r="H17" s="255">
        <v>316</v>
      </c>
      <c r="I17" s="255">
        <v>0</v>
      </c>
      <c r="J17" s="255" t="s">
        <v>104</v>
      </c>
      <c r="K17" s="255">
        <v>13725</v>
      </c>
      <c r="L17" s="255">
        <f t="shared" si="0"/>
        <v>62601</v>
      </c>
      <c r="M17" s="255">
        <v>787</v>
      </c>
      <c r="N17" s="255"/>
      <c r="O17" s="255">
        <v>2012</v>
      </c>
      <c r="P17" s="255">
        <f t="shared" si="1"/>
        <v>2799</v>
      </c>
      <c r="Q17" s="255">
        <v>489</v>
      </c>
      <c r="R17" s="255">
        <v>212</v>
      </c>
      <c r="S17" s="255">
        <v>607</v>
      </c>
      <c r="T17" s="255">
        <v>3174</v>
      </c>
      <c r="U17" s="255">
        <v>1094</v>
      </c>
      <c r="V17" s="254" t="s">
        <v>1210</v>
      </c>
      <c r="W17" s="253" t="s">
        <v>1210</v>
      </c>
      <c r="X17" s="38">
        <v>837</v>
      </c>
      <c r="Y17" s="38">
        <v>1413</v>
      </c>
      <c r="Z17" s="38">
        <v>4080</v>
      </c>
      <c r="AA17" s="38">
        <v>9437</v>
      </c>
      <c r="AB17" s="38">
        <v>3897</v>
      </c>
      <c r="AC17" s="38">
        <v>336</v>
      </c>
      <c r="AD17" s="38">
        <v>2262</v>
      </c>
      <c r="AE17" s="38">
        <v>997</v>
      </c>
      <c r="AF17" s="38">
        <v>3516</v>
      </c>
      <c r="AG17" s="38">
        <v>4987</v>
      </c>
      <c r="AH17" s="38">
        <v>3367</v>
      </c>
      <c r="AI17" s="38">
        <v>11598</v>
      </c>
      <c r="AJ17" s="38">
        <v>507</v>
      </c>
      <c r="AK17" s="38">
        <v>6590</v>
      </c>
      <c r="AL17" s="38">
        <v>10365</v>
      </c>
      <c r="AM17" s="38">
        <v>26566</v>
      </c>
      <c r="AN17" s="38">
        <v>96331</v>
      </c>
      <c r="AO17" s="255">
        <f t="shared" si="2"/>
        <v>99130</v>
      </c>
      <c r="AP17" s="255">
        <f t="shared" si="3"/>
        <v>-36529</v>
      </c>
      <c r="AQ17" s="113" t="s">
        <v>312</v>
      </c>
    </row>
    <row r="18" spans="1:43" s="90" customFormat="1" ht="9.9499999999999993" hidden="1" customHeight="1">
      <c r="A18" s="573" t="s">
        <v>1219</v>
      </c>
      <c r="B18" s="574">
        <v>977</v>
      </c>
      <c r="C18" s="538">
        <v>2602</v>
      </c>
      <c r="D18" s="538">
        <v>42</v>
      </c>
      <c r="E18" s="538">
        <v>2290</v>
      </c>
      <c r="F18" s="538">
        <v>3702</v>
      </c>
      <c r="G18" s="538">
        <v>51891</v>
      </c>
      <c r="H18" s="574">
        <v>325</v>
      </c>
      <c r="I18" s="574">
        <v>0</v>
      </c>
      <c r="J18" s="574">
        <v>271</v>
      </c>
      <c r="K18" s="574">
        <v>16838</v>
      </c>
      <c r="L18" s="1611">
        <v>78931</v>
      </c>
      <c r="M18" s="574">
        <v>1234</v>
      </c>
      <c r="N18" s="574"/>
      <c r="O18" s="574">
        <v>2774</v>
      </c>
      <c r="P18" s="574">
        <v>4008</v>
      </c>
      <c r="Q18" s="574">
        <v>572</v>
      </c>
      <c r="R18" s="574">
        <v>525</v>
      </c>
      <c r="S18" s="574">
        <v>736</v>
      </c>
      <c r="T18" s="574">
        <v>4022</v>
      </c>
      <c r="U18" s="574">
        <v>1356</v>
      </c>
      <c r="V18" s="575" t="s">
        <v>1219</v>
      </c>
      <c r="W18" s="573" t="s">
        <v>1219</v>
      </c>
      <c r="X18" s="534">
        <v>2034</v>
      </c>
      <c r="Y18" s="534">
        <v>1656</v>
      </c>
      <c r="Z18" s="534">
        <v>3607</v>
      </c>
      <c r="AA18" s="534">
        <v>11807</v>
      </c>
      <c r="AB18" s="534">
        <v>4616</v>
      </c>
      <c r="AC18" s="534">
        <v>338</v>
      </c>
      <c r="AD18" s="534">
        <v>2370</v>
      </c>
      <c r="AE18" s="534">
        <v>1113</v>
      </c>
      <c r="AF18" s="534">
        <v>4440</v>
      </c>
      <c r="AG18" s="534">
        <v>5926</v>
      </c>
      <c r="AH18" s="534">
        <v>4023</v>
      </c>
      <c r="AI18" s="534">
        <v>13064</v>
      </c>
      <c r="AJ18" s="576">
        <v>671</v>
      </c>
      <c r="AK18" s="576">
        <v>6805</v>
      </c>
      <c r="AL18" s="576">
        <v>13332</v>
      </c>
      <c r="AM18" s="576">
        <v>31410</v>
      </c>
      <c r="AN18" s="576">
        <v>114470</v>
      </c>
      <c r="AO18" s="574">
        <v>118478</v>
      </c>
      <c r="AP18" s="574">
        <v>-39560</v>
      </c>
      <c r="AQ18" s="553" t="s">
        <v>1219</v>
      </c>
    </row>
    <row r="19" spans="1:43" s="90" customFormat="1" ht="9.9499999999999993" hidden="1" customHeight="1">
      <c r="A19" s="253" t="s">
        <v>916</v>
      </c>
      <c r="B19" s="255">
        <v>1075</v>
      </c>
      <c r="C19" s="44">
        <v>2490</v>
      </c>
      <c r="D19" s="44">
        <v>107</v>
      </c>
      <c r="E19" s="44">
        <v>2425</v>
      </c>
      <c r="F19" s="44">
        <v>3892</v>
      </c>
      <c r="G19" s="44">
        <v>56878</v>
      </c>
      <c r="H19" s="255">
        <v>759</v>
      </c>
      <c r="I19" s="255">
        <v>0</v>
      </c>
      <c r="J19" s="255">
        <v>408</v>
      </c>
      <c r="K19" s="255">
        <v>18988</v>
      </c>
      <c r="L19" s="255">
        <v>87022</v>
      </c>
      <c r="M19" s="255">
        <v>5993</v>
      </c>
      <c r="N19" s="255"/>
      <c r="O19" s="255">
        <v>3681</v>
      </c>
      <c r="P19" s="255">
        <v>9674</v>
      </c>
      <c r="Q19" s="255">
        <v>943</v>
      </c>
      <c r="R19" s="255">
        <v>550</v>
      </c>
      <c r="S19" s="255">
        <v>932</v>
      </c>
      <c r="T19" s="255">
        <v>6905</v>
      </c>
      <c r="U19" s="255">
        <v>2242</v>
      </c>
      <c r="V19" s="254" t="s">
        <v>916</v>
      </c>
      <c r="W19" s="253" t="s">
        <v>916</v>
      </c>
      <c r="X19" s="37">
        <v>2718</v>
      </c>
      <c r="Y19" s="37">
        <v>2380</v>
      </c>
      <c r="Z19" s="37">
        <v>4767</v>
      </c>
      <c r="AA19" s="37">
        <v>14116</v>
      </c>
      <c r="AB19" s="37">
        <v>6103</v>
      </c>
      <c r="AC19" s="37">
        <v>426</v>
      </c>
      <c r="AD19" s="37">
        <v>4330</v>
      </c>
      <c r="AE19" s="37">
        <v>1492</v>
      </c>
      <c r="AF19" s="37">
        <v>5542</v>
      </c>
      <c r="AG19" s="37">
        <v>8317</v>
      </c>
      <c r="AH19" s="37">
        <v>4739</v>
      </c>
      <c r="AI19" s="37">
        <v>12984</v>
      </c>
      <c r="AJ19" s="38">
        <v>756</v>
      </c>
      <c r="AK19" s="38">
        <v>8091</v>
      </c>
      <c r="AL19" s="38">
        <v>11440</v>
      </c>
      <c r="AM19" s="38">
        <v>38926</v>
      </c>
      <c r="AN19" s="38">
        <v>138696</v>
      </c>
      <c r="AO19" s="255">
        <v>148370</v>
      </c>
      <c r="AP19" s="255">
        <v>-62087</v>
      </c>
      <c r="AQ19" s="113" t="s">
        <v>916</v>
      </c>
    </row>
    <row r="20" spans="1:43" s="90" customFormat="1" ht="9.9499999999999993" hidden="1" customHeight="1">
      <c r="A20" s="573" t="s">
        <v>230</v>
      </c>
      <c r="B20" s="574">
        <v>923</v>
      </c>
      <c r="C20" s="538">
        <v>2348</v>
      </c>
      <c r="D20" s="538">
        <v>82</v>
      </c>
      <c r="E20" s="538">
        <v>1963</v>
      </c>
      <c r="F20" s="538">
        <v>3131</v>
      </c>
      <c r="G20" s="538">
        <v>67257</v>
      </c>
      <c r="H20" s="574">
        <v>661</v>
      </c>
      <c r="I20" s="574">
        <v>0</v>
      </c>
      <c r="J20" s="574">
        <v>712</v>
      </c>
      <c r="K20" s="574">
        <v>20421</v>
      </c>
      <c r="L20" s="574">
        <v>97498</v>
      </c>
      <c r="M20" s="574">
        <v>1645.4</v>
      </c>
      <c r="N20" s="574"/>
      <c r="O20" s="574">
        <v>4428.7</v>
      </c>
      <c r="P20" s="574">
        <v>6070.1</v>
      </c>
      <c r="Q20" s="574">
        <v>664.1</v>
      </c>
      <c r="R20" s="574">
        <v>428</v>
      </c>
      <c r="S20" s="574">
        <v>1095</v>
      </c>
      <c r="T20" s="574">
        <v>5951.6</v>
      </c>
      <c r="U20" s="574">
        <v>1610</v>
      </c>
      <c r="V20" s="575" t="s">
        <v>230</v>
      </c>
      <c r="W20" s="573" t="s">
        <v>230</v>
      </c>
      <c r="X20" s="534">
        <v>2843</v>
      </c>
      <c r="Y20" s="534">
        <v>2160</v>
      </c>
      <c r="Z20" s="534">
        <v>4011</v>
      </c>
      <c r="AA20" s="534">
        <v>13729</v>
      </c>
      <c r="AB20" s="534">
        <v>6604.8</v>
      </c>
      <c r="AC20" s="534">
        <v>548</v>
      </c>
      <c r="AD20" s="534">
        <v>6559.5</v>
      </c>
      <c r="AE20" s="534">
        <v>1779</v>
      </c>
      <c r="AF20" s="534">
        <v>5779</v>
      </c>
      <c r="AG20" s="534">
        <v>8880</v>
      </c>
      <c r="AH20" s="534">
        <v>5448</v>
      </c>
      <c r="AI20" s="534">
        <v>14444</v>
      </c>
      <c r="AJ20" s="576">
        <v>774</v>
      </c>
      <c r="AK20" s="576">
        <v>10336</v>
      </c>
      <c r="AL20" s="576">
        <v>9764</v>
      </c>
      <c r="AM20" s="576">
        <v>45346.400000000001</v>
      </c>
      <c r="AN20" s="576">
        <v>148752.4</v>
      </c>
      <c r="AO20" s="574">
        <v>154822.5</v>
      </c>
      <c r="AP20" s="574">
        <v>-57324.5</v>
      </c>
      <c r="AQ20" s="553" t="s">
        <v>230</v>
      </c>
    </row>
    <row r="21" spans="1:43" s="90" customFormat="1" ht="9.9499999999999993" customHeight="1">
      <c r="A21" s="253" t="s">
        <v>220</v>
      </c>
      <c r="B21" s="255">
        <v>1328</v>
      </c>
      <c r="C21" s="44">
        <v>3656</v>
      </c>
      <c r="D21" s="44">
        <v>37</v>
      </c>
      <c r="E21" s="44">
        <v>2431</v>
      </c>
      <c r="F21" s="44">
        <v>3208</v>
      </c>
      <c r="G21" s="44">
        <v>67248</v>
      </c>
      <c r="H21" s="255">
        <v>993</v>
      </c>
      <c r="I21" s="255">
        <v>0</v>
      </c>
      <c r="J21" s="255">
        <v>236</v>
      </c>
      <c r="K21" s="255">
        <v>23011</v>
      </c>
      <c r="L21" s="255">
        <v>102148</v>
      </c>
      <c r="M21" s="255">
        <v>522</v>
      </c>
      <c r="N21" s="255"/>
      <c r="O21" s="255">
        <v>5267</v>
      </c>
      <c r="P21" s="255">
        <v>5789</v>
      </c>
      <c r="Q21" s="255">
        <v>736</v>
      </c>
      <c r="R21" s="255">
        <v>755</v>
      </c>
      <c r="S21" s="255">
        <v>900</v>
      </c>
      <c r="T21" s="255">
        <v>7260</v>
      </c>
      <c r="U21" s="255">
        <v>2422</v>
      </c>
      <c r="V21" s="254" t="s">
        <v>220</v>
      </c>
      <c r="W21" s="253" t="s">
        <v>220</v>
      </c>
      <c r="X21" s="37">
        <v>4497</v>
      </c>
      <c r="Y21" s="37">
        <v>2305</v>
      </c>
      <c r="Z21" s="37">
        <v>3700</v>
      </c>
      <c r="AA21" s="37">
        <v>13984</v>
      </c>
      <c r="AB21" s="37">
        <v>6722</v>
      </c>
      <c r="AC21" s="37">
        <v>713</v>
      </c>
      <c r="AD21" s="37">
        <v>4960</v>
      </c>
      <c r="AE21" s="37">
        <v>1899</v>
      </c>
      <c r="AF21" s="37">
        <v>6683</v>
      </c>
      <c r="AG21" s="37">
        <v>9959</v>
      </c>
      <c r="AH21" s="37">
        <v>4971</v>
      </c>
      <c r="AI21" s="37">
        <v>13742</v>
      </c>
      <c r="AJ21" s="38">
        <v>814</v>
      </c>
      <c r="AK21" s="38">
        <v>10052</v>
      </c>
      <c r="AL21" s="38">
        <v>11032</v>
      </c>
      <c r="AM21" s="38">
        <v>50346</v>
      </c>
      <c r="AN21" s="38">
        <v>158452</v>
      </c>
      <c r="AO21" s="255">
        <v>164241</v>
      </c>
      <c r="AP21" s="255">
        <v>-62093</v>
      </c>
      <c r="AQ21" s="113" t="s">
        <v>220</v>
      </c>
    </row>
    <row r="22" spans="1:43" s="90" customFormat="1" ht="9.9499999999999993" customHeight="1">
      <c r="A22" s="573" t="s">
        <v>489</v>
      </c>
      <c r="B22" s="574">
        <v>1888</v>
      </c>
      <c r="C22" s="538">
        <v>4750</v>
      </c>
      <c r="D22" s="538">
        <v>19</v>
      </c>
      <c r="E22" s="538">
        <v>3365</v>
      </c>
      <c r="F22" s="538">
        <v>4149</v>
      </c>
      <c r="G22" s="538">
        <v>96711</v>
      </c>
      <c r="H22" s="574">
        <v>851</v>
      </c>
      <c r="I22" s="574">
        <v>0</v>
      </c>
      <c r="J22" s="574">
        <v>182</v>
      </c>
      <c r="K22" s="574">
        <v>32516.062909</v>
      </c>
      <c r="L22" s="574">
        <v>144431.062909</v>
      </c>
      <c r="M22" s="574">
        <v>5943</v>
      </c>
      <c r="N22" s="574"/>
      <c r="O22" s="574">
        <v>7721</v>
      </c>
      <c r="P22" s="574">
        <v>13664</v>
      </c>
      <c r="Q22" s="574">
        <v>1153</v>
      </c>
      <c r="R22" s="574">
        <v>898</v>
      </c>
      <c r="S22" s="574">
        <v>736</v>
      </c>
      <c r="T22" s="574">
        <v>7600</v>
      </c>
      <c r="U22" s="574">
        <v>2073</v>
      </c>
      <c r="V22" s="575" t="s">
        <v>489</v>
      </c>
      <c r="W22" s="573" t="s">
        <v>489</v>
      </c>
      <c r="X22" s="534">
        <v>4667</v>
      </c>
      <c r="Y22" s="534">
        <v>3182</v>
      </c>
      <c r="Z22" s="534">
        <v>6350</v>
      </c>
      <c r="AA22" s="534">
        <v>23060</v>
      </c>
      <c r="AB22" s="534">
        <v>8938</v>
      </c>
      <c r="AC22" s="534">
        <v>824</v>
      </c>
      <c r="AD22" s="534">
        <v>8817</v>
      </c>
      <c r="AE22" s="534">
        <v>2371</v>
      </c>
      <c r="AF22" s="534">
        <v>9278</v>
      </c>
      <c r="AG22" s="534">
        <v>19115</v>
      </c>
      <c r="AH22" s="534">
        <v>9927</v>
      </c>
      <c r="AI22" s="534">
        <v>19102</v>
      </c>
      <c r="AJ22" s="576">
        <v>1283</v>
      </c>
      <c r="AK22" s="576">
        <v>14290</v>
      </c>
      <c r="AL22" s="576">
        <v>16589</v>
      </c>
      <c r="AM22" s="576">
        <v>66111</v>
      </c>
      <c r="AN22" s="576">
        <v>226364</v>
      </c>
      <c r="AO22" s="574">
        <v>240028</v>
      </c>
      <c r="AP22" s="574">
        <v>-95596.937090999985</v>
      </c>
      <c r="AQ22" s="553" t="s">
        <v>489</v>
      </c>
    </row>
    <row r="23" spans="1:43" s="494" customFormat="1" ht="9.9499999999999993" customHeight="1">
      <c r="A23" s="909" t="s">
        <v>1580</v>
      </c>
      <c r="B23" s="959">
        <v>1866</v>
      </c>
      <c r="C23" s="256">
        <v>5200</v>
      </c>
      <c r="D23" s="256">
        <v>28</v>
      </c>
      <c r="E23" s="256">
        <v>4115</v>
      </c>
      <c r="F23" s="256">
        <v>4758</v>
      </c>
      <c r="G23" s="256">
        <v>122701</v>
      </c>
      <c r="H23" s="959">
        <v>975</v>
      </c>
      <c r="I23" s="959">
        <v>0</v>
      </c>
      <c r="J23" s="959">
        <v>130</v>
      </c>
      <c r="K23" s="959">
        <v>40540.264029999998</v>
      </c>
      <c r="L23" s="959">
        <v>180313.26402999999</v>
      </c>
      <c r="M23" s="959">
        <v>2188</v>
      </c>
      <c r="N23" s="959"/>
      <c r="O23" s="959">
        <v>4763</v>
      </c>
      <c r="P23" s="959">
        <v>6951</v>
      </c>
      <c r="Q23" s="959">
        <v>1750</v>
      </c>
      <c r="R23" s="959">
        <v>1080</v>
      </c>
      <c r="S23" s="959">
        <v>1420</v>
      </c>
      <c r="T23" s="959">
        <v>13051</v>
      </c>
      <c r="U23" s="959">
        <v>1911</v>
      </c>
      <c r="V23" s="910" t="s">
        <v>1580</v>
      </c>
      <c r="W23" s="909" t="s">
        <v>1580</v>
      </c>
      <c r="X23" s="42">
        <v>9390</v>
      </c>
      <c r="Y23" s="42">
        <v>3994</v>
      </c>
      <c r="Z23" s="42">
        <v>8387</v>
      </c>
      <c r="AA23" s="42">
        <v>30484</v>
      </c>
      <c r="AB23" s="42">
        <v>9575</v>
      </c>
      <c r="AC23" s="42">
        <v>934</v>
      </c>
      <c r="AD23" s="42">
        <v>10907</v>
      </c>
      <c r="AE23" s="42">
        <v>2977</v>
      </c>
      <c r="AF23" s="42">
        <v>10835</v>
      </c>
      <c r="AG23" s="42">
        <v>16601</v>
      </c>
      <c r="AH23" s="42">
        <v>10833</v>
      </c>
      <c r="AI23" s="42">
        <v>24168</v>
      </c>
      <c r="AJ23" s="450">
        <v>3250</v>
      </c>
      <c r="AK23" s="450">
        <v>17637</v>
      </c>
      <c r="AL23" s="450">
        <v>15765</v>
      </c>
      <c r="AM23" s="450">
        <v>79063</v>
      </c>
      <c r="AN23" s="450">
        <v>274012</v>
      </c>
      <c r="AO23" s="959">
        <v>280963</v>
      </c>
      <c r="AP23" s="959">
        <v>-100649.73597000001</v>
      </c>
      <c r="AQ23" s="451" t="s">
        <v>1580</v>
      </c>
    </row>
    <row r="24" spans="1:43" s="494" customFormat="1" ht="9.9499999999999993" customHeight="1">
      <c r="A24" s="573" t="s">
        <v>1809</v>
      </c>
      <c r="B24" s="574">
        <v>1699</v>
      </c>
      <c r="C24" s="538">
        <v>5989</v>
      </c>
      <c r="D24" s="538">
        <v>17</v>
      </c>
      <c r="E24" s="538">
        <v>4778</v>
      </c>
      <c r="F24" s="538">
        <v>3399</v>
      </c>
      <c r="G24" s="538">
        <v>128285</v>
      </c>
      <c r="H24" s="574">
        <v>431</v>
      </c>
      <c r="I24" s="574">
        <v>0</v>
      </c>
      <c r="J24" s="574">
        <v>0</v>
      </c>
      <c r="K24" s="574">
        <v>44838.842640000003</v>
      </c>
      <c r="L24" s="574">
        <v>189436.84263999999</v>
      </c>
      <c r="M24" s="574">
        <v>239</v>
      </c>
      <c r="N24" s="574"/>
      <c r="O24" s="574">
        <v>5575</v>
      </c>
      <c r="P24" s="574">
        <v>5814</v>
      </c>
      <c r="Q24" s="574">
        <v>1708</v>
      </c>
      <c r="R24" s="574">
        <v>947</v>
      </c>
      <c r="S24" s="574">
        <v>1932</v>
      </c>
      <c r="T24" s="574">
        <v>11185</v>
      </c>
      <c r="U24" s="574">
        <v>3373</v>
      </c>
      <c r="V24" s="575" t="s">
        <v>1809</v>
      </c>
      <c r="W24" s="573" t="s">
        <v>1809</v>
      </c>
      <c r="X24" s="534">
        <v>5853</v>
      </c>
      <c r="Y24" s="534">
        <v>3888</v>
      </c>
      <c r="Z24" s="534">
        <v>8801</v>
      </c>
      <c r="AA24" s="534">
        <v>29122</v>
      </c>
      <c r="AB24" s="534">
        <v>10405</v>
      </c>
      <c r="AC24" s="534">
        <v>952</v>
      </c>
      <c r="AD24" s="534">
        <v>9563</v>
      </c>
      <c r="AE24" s="534">
        <v>3190</v>
      </c>
      <c r="AF24" s="534">
        <v>10905</v>
      </c>
      <c r="AG24" s="534">
        <v>16004</v>
      </c>
      <c r="AH24" s="534">
        <v>10849</v>
      </c>
      <c r="AI24" s="534">
        <v>26133</v>
      </c>
      <c r="AJ24" s="576">
        <v>3627</v>
      </c>
      <c r="AK24" s="576">
        <v>18642</v>
      </c>
      <c r="AL24" s="576">
        <v>14672</v>
      </c>
      <c r="AM24" s="576">
        <v>74763</v>
      </c>
      <c r="AN24" s="576">
        <v>266514</v>
      </c>
      <c r="AO24" s="574">
        <v>272328</v>
      </c>
      <c r="AP24" s="574">
        <v>-82891.157360000012</v>
      </c>
      <c r="AQ24" s="553" t="s">
        <v>1809</v>
      </c>
    </row>
    <row r="25" spans="1:43" s="695" customFormat="1" ht="9.9499999999999993" customHeight="1">
      <c r="A25" s="679" t="s">
        <v>2226</v>
      </c>
      <c r="B25" s="258">
        <f t="shared" ref="B25:U25" si="4">SUM(B26:B37)</f>
        <v>948</v>
      </c>
      <c r="C25" s="258">
        <f t="shared" si="4"/>
        <v>5315</v>
      </c>
      <c r="D25" s="258">
        <f t="shared" si="4"/>
        <v>17</v>
      </c>
      <c r="E25" s="258">
        <f t="shared" si="4"/>
        <v>3759</v>
      </c>
      <c r="F25" s="258">
        <f t="shared" si="4"/>
        <v>4098</v>
      </c>
      <c r="G25" s="258">
        <f t="shared" si="4"/>
        <v>146626</v>
      </c>
      <c r="H25" s="258">
        <f t="shared" si="4"/>
        <v>134</v>
      </c>
      <c r="I25" s="258">
        <f t="shared" si="4"/>
        <v>0</v>
      </c>
      <c r="J25" s="258">
        <f t="shared" si="4"/>
        <v>0</v>
      </c>
      <c r="K25" s="1030">
        <f t="shared" si="4"/>
        <v>52476.544890000005</v>
      </c>
      <c r="L25" s="1030">
        <f t="shared" si="4"/>
        <v>213373.54489000002</v>
      </c>
      <c r="M25" s="258">
        <f t="shared" si="4"/>
        <v>2701</v>
      </c>
      <c r="N25" s="258"/>
      <c r="O25" s="258">
        <f t="shared" si="4"/>
        <v>8685</v>
      </c>
      <c r="P25" s="258">
        <f t="shared" si="4"/>
        <v>11386</v>
      </c>
      <c r="Q25" s="258">
        <f t="shared" si="4"/>
        <v>2249</v>
      </c>
      <c r="R25" s="258">
        <f t="shared" si="4"/>
        <v>1423</v>
      </c>
      <c r="S25" s="258">
        <f t="shared" si="4"/>
        <v>3952</v>
      </c>
      <c r="T25" s="258">
        <f t="shared" si="4"/>
        <v>13686</v>
      </c>
      <c r="U25" s="258">
        <f t="shared" si="4"/>
        <v>3536</v>
      </c>
      <c r="V25" s="680" t="s">
        <v>2226</v>
      </c>
      <c r="W25" s="679" t="s">
        <v>2226</v>
      </c>
      <c r="X25" s="258">
        <f t="shared" ref="X25:AP25" si="5">SUM(X26:X37)</f>
        <v>7014</v>
      </c>
      <c r="Y25" s="258">
        <f t="shared" si="5"/>
        <v>4812</v>
      </c>
      <c r="Z25" s="258">
        <f t="shared" si="5"/>
        <v>7218</v>
      </c>
      <c r="AA25" s="258">
        <f t="shared" si="5"/>
        <v>31628</v>
      </c>
      <c r="AB25" s="258">
        <f t="shared" si="5"/>
        <v>11644</v>
      </c>
      <c r="AC25" s="258">
        <f t="shared" si="5"/>
        <v>931</v>
      </c>
      <c r="AD25" s="258">
        <f t="shared" si="5"/>
        <v>7977</v>
      </c>
      <c r="AE25" s="258">
        <f t="shared" si="5"/>
        <v>4185</v>
      </c>
      <c r="AF25" s="258">
        <f t="shared" si="5"/>
        <v>13937</v>
      </c>
      <c r="AG25" s="258">
        <f t="shared" si="5"/>
        <v>18850</v>
      </c>
      <c r="AH25" s="258">
        <f t="shared" si="5"/>
        <v>11705</v>
      </c>
      <c r="AI25" s="258">
        <f t="shared" si="5"/>
        <v>27853</v>
      </c>
      <c r="AJ25" s="258">
        <f t="shared" si="5"/>
        <v>3833</v>
      </c>
      <c r="AK25" s="258">
        <f t="shared" si="5"/>
        <v>20654</v>
      </c>
      <c r="AL25" s="258">
        <f t="shared" si="5"/>
        <v>18122</v>
      </c>
      <c r="AM25" s="258">
        <f t="shared" si="5"/>
        <v>89977</v>
      </c>
      <c r="AN25" s="258">
        <f t="shared" si="5"/>
        <v>305186</v>
      </c>
      <c r="AO25" s="258">
        <f t="shared" si="5"/>
        <v>316572</v>
      </c>
      <c r="AP25" s="1030">
        <f t="shared" si="5"/>
        <v>-103198.45510999998</v>
      </c>
      <c r="AQ25" s="680" t="s">
        <v>2226</v>
      </c>
    </row>
    <row r="26" spans="1:43" s="480" customFormat="1" ht="9.9499999999999993" customHeight="1">
      <c r="A26" s="573" t="s">
        <v>1211</v>
      </c>
      <c r="B26" s="763">
        <v>132</v>
      </c>
      <c r="C26" s="763">
        <v>479</v>
      </c>
      <c r="D26" s="763">
        <v>3</v>
      </c>
      <c r="E26" s="763">
        <v>258</v>
      </c>
      <c r="F26" s="524">
        <f>37+307</f>
        <v>344</v>
      </c>
      <c r="G26" s="524">
        <v>12309</v>
      </c>
      <c r="H26" s="763">
        <v>0</v>
      </c>
      <c r="I26" s="763">
        <v>0</v>
      </c>
      <c r="J26" s="763">
        <v>0</v>
      </c>
      <c r="K26" s="763">
        <f t="shared" ref="K26:K56" si="6">L26-SUM(B26:J26)</f>
        <v>4824.1536000000015</v>
      </c>
      <c r="L26" s="532">
        <f>14890+44.485*77.76</f>
        <v>18349.153600000001</v>
      </c>
      <c r="M26" s="532">
        <v>98</v>
      </c>
      <c r="N26" s="532"/>
      <c r="O26" s="532">
        <v>1041</v>
      </c>
      <c r="P26" s="532">
        <f t="shared" ref="P26:P50" si="7">M26+O26</f>
        <v>1139</v>
      </c>
      <c r="Q26" s="532">
        <v>150</v>
      </c>
      <c r="R26" s="532">
        <v>139</v>
      </c>
      <c r="S26" s="532">
        <v>365</v>
      </c>
      <c r="T26" s="532">
        <v>1717</v>
      </c>
      <c r="U26" s="532">
        <v>448</v>
      </c>
      <c r="V26" s="575" t="s">
        <v>1211</v>
      </c>
      <c r="W26" s="573" t="s">
        <v>1211</v>
      </c>
      <c r="X26" s="764">
        <v>588</v>
      </c>
      <c r="Y26" s="764">
        <v>491</v>
      </c>
      <c r="Z26" s="530">
        <v>0</v>
      </c>
      <c r="AA26" s="530">
        <v>2036</v>
      </c>
      <c r="AB26" s="532">
        <v>1067</v>
      </c>
      <c r="AC26" s="530">
        <v>89</v>
      </c>
      <c r="AD26" s="532">
        <v>603</v>
      </c>
      <c r="AE26" s="530">
        <v>326</v>
      </c>
      <c r="AF26" s="530">
        <v>1263</v>
      </c>
      <c r="AG26" s="530">
        <v>1640</v>
      </c>
      <c r="AH26" s="530">
        <v>1040</v>
      </c>
      <c r="AI26" s="530">
        <v>2737</v>
      </c>
      <c r="AJ26" s="530">
        <v>319</v>
      </c>
      <c r="AK26" s="530">
        <v>2174</v>
      </c>
      <c r="AL26" s="530">
        <v>1826</v>
      </c>
      <c r="AM26" s="532">
        <f>2908+2579+1396</f>
        <v>6883</v>
      </c>
      <c r="AN26" s="532">
        <f t="shared" ref="AN26:AN56" si="8">SUM(Q26:U26)+SUM(X26:AM26)</f>
        <v>25901</v>
      </c>
      <c r="AO26" s="532">
        <f t="shared" ref="AO26:AO50" si="9">P26+AN26</f>
        <v>27040</v>
      </c>
      <c r="AP26" s="524">
        <f t="shared" ref="AP26:AP50" si="10">L26-AO26</f>
        <v>-8690.8463999999985</v>
      </c>
      <c r="AQ26" s="575" t="s">
        <v>1211</v>
      </c>
    </row>
    <row r="27" spans="1:43" s="480" customFormat="1" ht="9.9499999999999993" customHeight="1">
      <c r="A27" s="737" t="s">
        <v>288</v>
      </c>
      <c r="B27" s="738">
        <v>55</v>
      </c>
      <c r="C27" s="738">
        <v>391</v>
      </c>
      <c r="D27" s="738">
        <v>0</v>
      </c>
      <c r="E27" s="738">
        <v>296</v>
      </c>
      <c r="F27" s="436">
        <f>31+384</f>
        <v>415</v>
      </c>
      <c r="G27" s="436">
        <v>10760</v>
      </c>
      <c r="H27" s="738">
        <v>0</v>
      </c>
      <c r="I27" s="738">
        <v>0</v>
      </c>
      <c r="J27" s="738">
        <v>0</v>
      </c>
      <c r="K27" s="738">
        <f t="shared" si="6"/>
        <v>3517.4492499999997</v>
      </c>
      <c r="L27" s="739">
        <f>13302+27.427*77.75</f>
        <v>15434.44925</v>
      </c>
      <c r="M27" s="739">
        <v>116</v>
      </c>
      <c r="N27" s="739"/>
      <c r="O27" s="739">
        <v>671</v>
      </c>
      <c r="P27" s="739">
        <f t="shared" si="7"/>
        <v>787</v>
      </c>
      <c r="Q27" s="739">
        <v>144</v>
      </c>
      <c r="R27" s="739">
        <v>114</v>
      </c>
      <c r="S27" s="739">
        <v>84</v>
      </c>
      <c r="T27" s="739">
        <v>988</v>
      </c>
      <c r="U27" s="739">
        <v>462</v>
      </c>
      <c r="V27" s="910" t="s">
        <v>288</v>
      </c>
      <c r="W27" s="909" t="s">
        <v>288</v>
      </c>
      <c r="X27" s="741">
        <v>591</v>
      </c>
      <c r="Y27" s="741">
        <v>481</v>
      </c>
      <c r="Z27" s="482">
        <v>540</v>
      </c>
      <c r="AA27" s="482">
        <v>1910</v>
      </c>
      <c r="AB27" s="739">
        <v>788</v>
      </c>
      <c r="AC27" s="482">
        <v>51</v>
      </c>
      <c r="AD27" s="739">
        <v>275</v>
      </c>
      <c r="AE27" s="482">
        <v>274</v>
      </c>
      <c r="AF27" s="482">
        <v>961</v>
      </c>
      <c r="AG27" s="482">
        <v>1349</v>
      </c>
      <c r="AH27" s="482">
        <v>841</v>
      </c>
      <c r="AI27" s="482">
        <v>2248</v>
      </c>
      <c r="AJ27" s="482">
        <v>256</v>
      </c>
      <c r="AK27" s="482">
        <v>1475</v>
      </c>
      <c r="AL27" s="482">
        <v>1087</v>
      </c>
      <c r="AM27" s="739">
        <f>2915+2113+1440</f>
        <v>6468</v>
      </c>
      <c r="AN27" s="739">
        <f t="shared" si="8"/>
        <v>21387</v>
      </c>
      <c r="AO27" s="739">
        <f t="shared" si="9"/>
        <v>22174</v>
      </c>
      <c r="AP27" s="436">
        <f t="shared" si="10"/>
        <v>-6739.5507500000003</v>
      </c>
      <c r="AQ27" s="910" t="s">
        <v>1212</v>
      </c>
    </row>
    <row r="28" spans="1:43" s="480" customFormat="1" ht="9.9499999999999993" customHeight="1">
      <c r="A28" s="813" t="s">
        <v>1206</v>
      </c>
      <c r="B28" s="763">
        <v>67</v>
      </c>
      <c r="C28" s="763">
        <v>537</v>
      </c>
      <c r="D28" s="763">
        <v>1</v>
      </c>
      <c r="E28" s="763">
        <v>311</v>
      </c>
      <c r="F28" s="524">
        <f>42+398</f>
        <v>440</v>
      </c>
      <c r="G28" s="524">
        <v>13470</v>
      </c>
      <c r="H28" s="763">
        <v>0</v>
      </c>
      <c r="I28" s="763">
        <v>0</v>
      </c>
      <c r="J28" s="763">
        <v>0</v>
      </c>
      <c r="K28" s="763">
        <f t="shared" si="6"/>
        <v>4157.6287499999999</v>
      </c>
      <c r="L28" s="532">
        <f>16234+35.365*77.75</f>
        <v>18983.62875</v>
      </c>
      <c r="M28" s="532">
        <v>202</v>
      </c>
      <c r="N28" s="532"/>
      <c r="O28" s="532">
        <v>1345</v>
      </c>
      <c r="P28" s="532">
        <f t="shared" si="7"/>
        <v>1547</v>
      </c>
      <c r="Q28" s="532">
        <v>157</v>
      </c>
      <c r="R28" s="532">
        <v>147</v>
      </c>
      <c r="S28" s="532">
        <v>337</v>
      </c>
      <c r="T28" s="532">
        <v>1052</v>
      </c>
      <c r="U28" s="532">
        <v>401</v>
      </c>
      <c r="V28" s="575" t="s">
        <v>1206</v>
      </c>
      <c r="W28" s="573" t="s">
        <v>1206</v>
      </c>
      <c r="X28" s="764">
        <v>393</v>
      </c>
      <c r="Y28" s="764">
        <v>341</v>
      </c>
      <c r="Z28" s="530">
        <v>582</v>
      </c>
      <c r="AA28" s="530">
        <v>2471</v>
      </c>
      <c r="AB28" s="532">
        <v>997</v>
      </c>
      <c r="AC28" s="530">
        <v>69</v>
      </c>
      <c r="AD28" s="532">
        <v>617</v>
      </c>
      <c r="AE28" s="530">
        <v>323</v>
      </c>
      <c r="AF28" s="530">
        <v>1095</v>
      </c>
      <c r="AG28" s="530">
        <v>1900</v>
      </c>
      <c r="AH28" s="530">
        <v>962</v>
      </c>
      <c r="AI28" s="530">
        <v>2583</v>
      </c>
      <c r="AJ28" s="530">
        <v>359</v>
      </c>
      <c r="AK28" s="530">
        <v>1702</v>
      </c>
      <c r="AL28" s="530">
        <v>1413</v>
      </c>
      <c r="AM28" s="532">
        <f>3266+2633+1701</f>
        <v>7600</v>
      </c>
      <c r="AN28" s="532">
        <f t="shared" si="8"/>
        <v>25501</v>
      </c>
      <c r="AO28" s="532">
        <f t="shared" si="9"/>
        <v>27048</v>
      </c>
      <c r="AP28" s="524">
        <f t="shared" si="10"/>
        <v>-8064.3712500000001</v>
      </c>
      <c r="AQ28" s="814" t="s">
        <v>1206</v>
      </c>
    </row>
    <row r="29" spans="1:43" s="480" customFormat="1" ht="9.9499999999999993" customHeight="1">
      <c r="A29" s="737" t="s">
        <v>1213</v>
      </c>
      <c r="B29" s="738">
        <v>63</v>
      </c>
      <c r="C29" s="738">
        <v>421</v>
      </c>
      <c r="D29" s="738">
        <v>1</v>
      </c>
      <c r="E29" s="738">
        <v>310</v>
      </c>
      <c r="F29" s="436">
        <f>48+452</f>
        <v>500</v>
      </c>
      <c r="G29" s="436">
        <v>11636</v>
      </c>
      <c r="H29" s="738">
        <v>0</v>
      </c>
      <c r="I29" s="738">
        <v>0</v>
      </c>
      <c r="J29" s="738">
        <v>0</v>
      </c>
      <c r="K29" s="738">
        <f t="shared" si="6"/>
        <v>3643.6697500000009</v>
      </c>
      <c r="L29" s="739">
        <f>14313+29.089*77.75</f>
        <v>16574.669750000001</v>
      </c>
      <c r="M29" s="739">
        <v>201</v>
      </c>
      <c r="N29" s="739"/>
      <c r="O29" s="739">
        <v>1086</v>
      </c>
      <c r="P29" s="739">
        <f t="shared" si="7"/>
        <v>1287</v>
      </c>
      <c r="Q29" s="739">
        <v>181</v>
      </c>
      <c r="R29" s="739">
        <v>181</v>
      </c>
      <c r="S29" s="739">
        <v>1</v>
      </c>
      <c r="T29" s="739">
        <v>1143</v>
      </c>
      <c r="U29" s="739">
        <v>305</v>
      </c>
      <c r="V29" s="740" t="s">
        <v>1213</v>
      </c>
      <c r="W29" s="737" t="s">
        <v>1213</v>
      </c>
      <c r="X29" s="741">
        <v>486</v>
      </c>
      <c r="Y29" s="741">
        <v>291</v>
      </c>
      <c r="Z29" s="482">
        <v>677</v>
      </c>
      <c r="AA29" s="482">
        <v>2852</v>
      </c>
      <c r="AB29" s="739">
        <v>945</v>
      </c>
      <c r="AC29" s="482">
        <v>73</v>
      </c>
      <c r="AD29" s="739">
        <v>636</v>
      </c>
      <c r="AE29" s="482">
        <v>316</v>
      </c>
      <c r="AF29" s="482">
        <v>1309</v>
      </c>
      <c r="AG29" s="482">
        <v>1394</v>
      </c>
      <c r="AH29" s="482">
        <v>911</v>
      </c>
      <c r="AI29" s="482">
        <v>2090</v>
      </c>
      <c r="AJ29" s="482">
        <v>295</v>
      </c>
      <c r="AK29" s="482">
        <v>1768</v>
      </c>
      <c r="AL29" s="482">
        <v>1584</v>
      </c>
      <c r="AM29" s="739">
        <f>2942+2442+1656</f>
        <v>7040</v>
      </c>
      <c r="AN29" s="739">
        <f t="shared" si="8"/>
        <v>24478</v>
      </c>
      <c r="AO29" s="739">
        <f t="shared" si="9"/>
        <v>25765</v>
      </c>
      <c r="AP29" s="436">
        <f t="shared" si="10"/>
        <v>-9190.3302499999991</v>
      </c>
      <c r="AQ29" s="740" t="s">
        <v>1213</v>
      </c>
    </row>
    <row r="30" spans="1:43" s="480" customFormat="1" ht="9.9499999999999993" customHeight="1">
      <c r="A30" s="813" t="s">
        <v>1214</v>
      </c>
      <c r="B30" s="763">
        <v>75</v>
      </c>
      <c r="C30" s="763">
        <v>404</v>
      </c>
      <c r="D30" s="763">
        <v>1</v>
      </c>
      <c r="E30" s="763">
        <v>286</v>
      </c>
      <c r="F30" s="524">
        <f>49+396</f>
        <v>445</v>
      </c>
      <c r="G30" s="524">
        <v>12014</v>
      </c>
      <c r="H30" s="763">
        <v>134</v>
      </c>
      <c r="I30" s="763">
        <v>0</v>
      </c>
      <c r="J30" s="763">
        <v>0</v>
      </c>
      <c r="K30" s="763">
        <f t="shared" si="6"/>
        <v>4263.6827499999999</v>
      </c>
      <c r="L30" s="532">
        <f>14962+34.221*77.75</f>
        <v>17622.68275</v>
      </c>
      <c r="M30" s="532">
        <v>135</v>
      </c>
      <c r="N30" s="532"/>
      <c r="O30" s="532">
        <v>218</v>
      </c>
      <c r="P30" s="532">
        <f t="shared" si="7"/>
        <v>353</v>
      </c>
      <c r="Q30" s="532">
        <v>302</v>
      </c>
      <c r="R30" s="532">
        <v>98</v>
      </c>
      <c r="S30" s="532">
        <v>929</v>
      </c>
      <c r="T30" s="532">
        <v>1122</v>
      </c>
      <c r="U30" s="532">
        <v>335</v>
      </c>
      <c r="V30" s="814" t="s">
        <v>1214</v>
      </c>
      <c r="W30" s="813" t="s">
        <v>1214</v>
      </c>
      <c r="X30" s="764">
        <v>656</v>
      </c>
      <c r="Y30" s="764">
        <v>314</v>
      </c>
      <c r="Z30" s="530">
        <v>624</v>
      </c>
      <c r="AA30" s="530">
        <v>2367</v>
      </c>
      <c r="AB30" s="532">
        <v>891</v>
      </c>
      <c r="AC30" s="530">
        <v>83</v>
      </c>
      <c r="AD30" s="532">
        <v>1062</v>
      </c>
      <c r="AE30" s="530">
        <v>401</v>
      </c>
      <c r="AF30" s="530">
        <v>1085</v>
      </c>
      <c r="AG30" s="530">
        <v>1300</v>
      </c>
      <c r="AH30" s="530">
        <v>1013</v>
      </c>
      <c r="AI30" s="530">
        <v>2129</v>
      </c>
      <c r="AJ30" s="530">
        <v>284</v>
      </c>
      <c r="AK30" s="530">
        <v>1884</v>
      </c>
      <c r="AL30" s="530">
        <v>1751</v>
      </c>
      <c r="AM30" s="532">
        <f>3098+2353+1623</f>
        <v>7074</v>
      </c>
      <c r="AN30" s="532">
        <f t="shared" si="8"/>
        <v>25704</v>
      </c>
      <c r="AO30" s="532">
        <f t="shared" si="9"/>
        <v>26057</v>
      </c>
      <c r="AP30" s="524">
        <f t="shared" si="10"/>
        <v>-8434.3172500000001</v>
      </c>
      <c r="AQ30" s="814" t="s">
        <v>1214</v>
      </c>
    </row>
    <row r="31" spans="1:43" s="480" customFormat="1" ht="9.9499999999999993" customHeight="1">
      <c r="A31" s="737" t="s">
        <v>1207</v>
      </c>
      <c r="B31" s="738">
        <v>94</v>
      </c>
      <c r="C31" s="738">
        <v>441</v>
      </c>
      <c r="D31" s="738">
        <v>1</v>
      </c>
      <c r="E31" s="738">
        <v>321</v>
      </c>
      <c r="F31" s="436">
        <f>62+288</f>
        <v>350</v>
      </c>
      <c r="G31" s="436">
        <v>10675</v>
      </c>
      <c r="H31" s="738">
        <v>0</v>
      </c>
      <c r="I31" s="738">
        <v>0</v>
      </c>
      <c r="J31" s="738">
        <v>0</v>
      </c>
      <c r="K31" s="738">
        <f t="shared" si="6"/>
        <v>4434.3695000000007</v>
      </c>
      <c r="L31" s="739">
        <f>13121+41.098*77.75</f>
        <v>16316.369500000001</v>
      </c>
      <c r="M31" s="739">
        <v>78</v>
      </c>
      <c r="N31" s="739"/>
      <c r="O31" s="739">
        <v>318</v>
      </c>
      <c r="P31" s="739">
        <f t="shared" si="7"/>
        <v>396</v>
      </c>
      <c r="Q31" s="739">
        <v>206</v>
      </c>
      <c r="R31" s="739">
        <v>69</v>
      </c>
      <c r="S31" s="739">
        <v>588</v>
      </c>
      <c r="T31" s="739">
        <v>1018</v>
      </c>
      <c r="U31" s="739">
        <v>144</v>
      </c>
      <c r="V31" s="740" t="s">
        <v>1207</v>
      </c>
      <c r="W31" s="737" t="s">
        <v>1207</v>
      </c>
      <c r="X31" s="741">
        <v>981</v>
      </c>
      <c r="Y31" s="741">
        <v>325</v>
      </c>
      <c r="Z31" s="482">
        <v>667</v>
      </c>
      <c r="AA31" s="482">
        <v>2668</v>
      </c>
      <c r="AB31" s="739">
        <v>961</v>
      </c>
      <c r="AC31" s="482">
        <v>72</v>
      </c>
      <c r="AD31" s="739">
        <v>1242</v>
      </c>
      <c r="AE31" s="482">
        <v>306</v>
      </c>
      <c r="AF31" s="482">
        <v>996</v>
      </c>
      <c r="AG31" s="482">
        <v>1283</v>
      </c>
      <c r="AH31" s="482">
        <v>866</v>
      </c>
      <c r="AI31" s="482">
        <v>2020</v>
      </c>
      <c r="AJ31" s="482">
        <v>270</v>
      </c>
      <c r="AK31" s="482">
        <v>1661</v>
      </c>
      <c r="AL31" s="482">
        <v>1616</v>
      </c>
      <c r="AM31" s="739">
        <f>3418+3287+1836</f>
        <v>8541</v>
      </c>
      <c r="AN31" s="739">
        <f t="shared" si="8"/>
        <v>26500</v>
      </c>
      <c r="AO31" s="739">
        <f t="shared" si="9"/>
        <v>26896</v>
      </c>
      <c r="AP31" s="436">
        <f t="shared" si="10"/>
        <v>-10579.630499999999</v>
      </c>
      <c r="AQ31" s="740" t="s">
        <v>1207</v>
      </c>
    </row>
    <row r="32" spans="1:43" s="480" customFormat="1" ht="9.9499999999999993" customHeight="1">
      <c r="A32" s="813" t="s">
        <v>1215</v>
      </c>
      <c r="B32" s="763">
        <v>75</v>
      </c>
      <c r="C32" s="763">
        <v>373</v>
      </c>
      <c r="D32" s="763">
        <v>1</v>
      </c>
      <c r="E32" s="763">
        <v>342</v>
      </c>
      <c r="F32" s="524">
        <f>74+261</f>
        <v>335</v>
      </c>
      <c r="G32" s="524">
        <v>12396</v>
      </c>
      <c r="H32" s="763">
        <v>0</v>
      </c>
      <c r="I32" s="763">
        <v>0</v>
      </c>
      <c r="J32" s="763">
        <v>0</v>
      </c>
      <c r="K32" s="763">
        <f t="shared" si="6"/>
        <v>4480.8430000000008</v>
      </c>
      <c r="L32" s="532">
        <f>14951+39.252*77.75</f>
        <v>18002.843000000001</v>
      </c>
      <c r="M32" s="532">
        <v>207</v>
      </c>
      <c r="N32" s="532"/>
      <c r="O32" s="532">
        <v>606</v>
      </c>
      <c r="P32" s="532">
        <f t="shared" si="7"/>
        <v>813</v>
      </c>
      <c r="Q32" s="532">
        <v>246</v>
      </c>
      <c r="R32" s="532">
        <v>92</v>
      </c>
      <c r="S32" s="532">
        <v>188</v>
      </c>
      <c r="T32" s="532">
        <v>1352</v>
      </c>
      <c r="U32" s="532">
        <v>231</v>
      </c>
      <c r="V32" s="814" t="s">
        <v>1215</v>
      </c>
      <c r="W32" s="813" t="s">
        <v>1215</v>
      </c>
      <c r="X32" s="764">
        <v>724</v>
      </c>
      <c r="Y32" s="764">
        <v>370</v>
      </c>
      <c r="Z32" s="530">
        <v>667</v>
      </c>
      <c r="AA32" s="530">
        <v>3098</v>
      </c>
      <c r="AB32" s="532">
        <v>1113</v>
      </c>
      <c r="AC32" s="530">
        <v>103</v>
      </c>
      <c r="AD32" s="532">
        <v>1172</v>
      </c>
      <c r="AE32" s="530">
        <v>366</v>
      </c>
      <c r="AF32" s="530">
        <v>1020</v>
      </c>
      <c r="AG32" s="530">
        <v>1481</v>
      </c>
      <c r="AH32" s="530">
        <v>1065</v>
      </c>
      <c r="AI32" s="530">
        <v>2712</v>
      </c>
      <c r="AJ32" s="530">
        <v>290</v>
      </c>
      <c r="AK32" s="530">
        <v>1866</v>
      </c>
      <c r="AL32" s="530">
        <v>1601</v>
      </c>
      <c r="AM32" s="532">
        <f>3151+2666+2032</f>
        <v>7849</v>
      </c>
      <c r="AN32" s="532">
        <f t="shared" si="8"/>
        <v>27606</v>
      </c>
      <c r="AO32" s="532">
        <f t="shared" si="9"/>
        <v>28419</v>
      </c>
      <c r="AP32" s="524">
        <f t="shared" si="10"/>
        <v>-10416.156999999999</v>
      </c>
      <c r="AQ32" s="814" t="s">
        <v>1215</v>
      </c>
    </row>
    <row r="33" spans="1:43" s="480" customFormat="1" ht="9.9499999999999993" customHeight="1">
      <c r="A33" s="737" t="s">
        <v>1216</v>
      </c>
      <c r="B33" s="738">
        <v>78</v>
      </c>
      <c r="C33" s="738">
        <v>423</v>
      </c>
      <c r="D33" s="738">
        <v>2</v>
      </c>
      <c r="E33" s="738">
        <v>362</v>
      </c>
      <c r="F33" s="436">
        <f>65+201</f>
        <v>266</v>
      </c>
      <c r="G33" s="436">
        <v>12281</v>
      </c>
      <c r="H33" s="738">
        <v>0</v>
      </c>
      <c r="I33" s="738">
        <v>0</v>
      </c>
      <c r="J33" s="738">
        <v>0</v>
      </c>
      <c r="K33" s="738">
        <f t="shared" si="6"/>
        <v>4371.541250000002</v>
      </c>
      <c r="L33" s="739">
        <f>15100+34.515*77.75</f>
        <v>17783.541250000002</v>
      </c>
      <c r="M33" s="739">
        <v>362</v>
      </c>
      <c r="N33" s="739"/>
      <c r="O33" s="739">
        <v>771</v>
      </c>
      <c r="P33" s="739">
        <f t="shared" si="7"/>
        <v>1133</v>
      </c>
      <c r="Q33" s="739">
        <v>175</v>
      </c>
      <c r="R33" s="739">
        <v>87</v>
      </c>
      <c r="S33" s="739">
        <v>97</v>
      </c>
      <c r="T33" s="739">
        <v>1017</v>
      </c>
      <c r="U33" s="739">
        <v>165</v>
      </c>
      <c r="V33" s="740" t="s">
        <v>1216</v>
      </c>
      <c r="W33" s="737" t="s">
        <v>1216</v>
      </c>
      <c r="X33" s="741">
        <v>737</v>
      </c>
      <c r="Y33" s="741">
        <v>529</v>
      </c>
      <c r="Z33" s="482">
        <v>671</v>
      </c>
      <c r="AA33" s="482">
        <v>1855</v>
      </c>
      <c r="AB33" s="739">
        <v>741</v>
      </c>
      <c r="AC33" s="482">
        <v>82</v>
      </c>
      <c r="AD33" s="739">
        <v>472</v>
      </c>
      <c r="AE33" s="482">
        <v>275</v>
      </c>
      <c r="AF33" s="482">
        <v>940</v>
      </c>
      <c r="AG33" s="482">
        <v>1628</v>
      </c>
      <c r="AH33" s="482">
        <v>886</v>
      </c>
      <c r="AI33" s="482">
        <v>2156</v>
      </c>
      <c r="AJ33" s="482">
        <v>313</v>
      </c>
      <c r="AK33" s="482">
        <v>1344</v>
      </c>
      <c r="AL33" s="482">
        <v>1510</v>
      </c>
      <c r="AM33" s="739">
        <f>2698+2679+1536</f>
        <v>6913</v>
      </c>
      <c r="AN33" s="739">
        <f t="shared" si="8"/>
        <v>22593</v>
      </c>
      <c r="AO33" s="739">
        <f t="shared" si="9"/>
        <v>23726</v>
      </c>
      <c r="AP33" s="436">
        <f t="shared" si="10"/>
        <v>-5942.458749999998</v>
      </c>
      <c r="AQ33" s="740" t="s">
        <v>1216</v>
      </c>
    </row>
    <row r="34" spans="1:43" s="480" customFormat="1" ht="9.9499999999999993" customHeight="1">
      <c r="A34" s="813" t="s">
        <v>917</v>
      </c>
      <c r="B34" s="763">
        <v>76</v>
      </c>
      <c r="C34" s="763">
        <v>474</v>
      </c>
      <c r="D34" s="763">
        <v>0</v>
      </c>
      <c r="E34" s="763">
        <v>351</v>
      </c>
      <c r="F34" s="524">
        <f>58+205</f>
        <v>263</v>
      </c>
      <c r="G34" s="524">
        <v>12920</v>
      </c>
      <c r="H34" s="763">
        <v>0</v>
      </c>
      <c r="I34" s="763">
        <v>0</v>
      </c>
      <c r="J34" s="763">
        <v>0</v>
      </c>
      <c r="K34" s="763">
        <f t="shared" si="6"/>
        <v>4433.0596799999985</v>
      </c>
      <c r="L34" s="532">
        <f>15579+37.808*77.71</f>
        <v>18517.059679999998</v>
      </c>
      <c r="M34" s="532">
        <v>441</v>
      </c>
      <c r="N34" s="532"/>
      <c r="O34" s="532">
        <v>880</v>
      </c>
      <c r="P34" s="532">
        <f t="shared" si="7"/>
        <v>1321</v>
      </c>
      <c r="Q34" s="532">
        <v>213</v>
      </c>
      <c r="R34" s="532">
        <v>91</v>
      </c>
      <c r="S34" s="532">
        <v>518</v>
      </c>
      <c r="T34" s="532">
        <v>852</v>
      </c>
      <c r="U34" s="532">
        <v>245</v>
      </c>
      <c r="V34" s="814" t="s">
        <v>917</v>
      </c>
      <c r="W34" s="813" t="s">
        <v>1208</v>
      </c>
      <c r="X34" s="764">
        <v>391</v>
      </c>
      <c r="Y34" s="764">
        <v>533</v>
      </c>
      <c r="Z34" s="530">
        <v>610</v>
      </c>
      <c r="AA34" s="530">
        <v>3349</v>
      </c>
      <c r="AB34" s="532">
        <v>990</v>
      </c>
      <c r="AC34" s="530">
        <v>49</v>
      </c>
      <c r="AD34" s="532">
        <v>885</v>
      </c>
      <c r="AE34" s="530">
        <v>357</v>
      </c>
      <c r="AF34" s="530">
        <v>1124</v>
      </c>
      <c r="AG34" s="530">
        <v>1652</v>
      </c>
      <c r="AH34" s="530">
        <v>982</v>
      </c>
      <c r="AI34" s="530">
        <v>2219</v>
      </c>
      <c r="AJ34" s="530">
        <v>371</v>
      </c>
      <c r="AK34" s="530">
        <v>1589</v>
      </c>
      <c r="AL34" s="530">
        <v>1082</v>
      </c>
      <c r="AM34" s="532">
        <f>2933+2313+3785</f>
        <v>9031</v>
      </c>
      <c r="AN34" s="532">
        <f t="shared" si="8"/>
        <v>27133</v>
      </c>
      <c r="AO34" s="532">
        <f t="shared" si="9"/>
        <v>28454</v>
      </c>
      <c r="AP34" s="524">
        <f t="shared" si="10"/>
        <v>-9936.9403200000015</v>
      </c>
      <c r="AQ34" s="814" t="s">
        <v>1208</v>
      </c>
    </row>
    <row r="35" spans="1:43" s="480" customFormat="1" ht="9.9499999999999993" customHeight="1">
      <c r="A35" s="737" t="s">
        <v>1217</v>
      </c>
      <c r="B35" s="738">
        <v>87</v>
      </c>
      <c r="C35" s="738">
        <v>492</v>
      </c>
      <c r="D35" s="738">
        <v>5</v>
      </c>
      <c r="E35" s="738">
        <v>319</v>
      </c>
      <c r="F35" s="436">
        <f>53+131</f>
        <v>184</v>
      </c>
      <c r="G35" s="436">
        <v>12550</v>
      </c>
      <c r="H35" s="738">
        <v>0</v>
      </c>
      <c r="I35" s="738">
        <v>0</v>
      </c>
      <c r="J35" s="738">
        <v>0</v>
      </c>
      <c r="K35" s="738">
        <f t="shared" si="6"/>
        <v>4326.287519999998</v>
      </c>
      <c r="L35" s="739">
        <f>15193+35.672*77.66</f>
        <v>17963.287519999998</v>
      </c>
      <c r="M35" s="739">
        <v>436</v>
      </c>
      <c r="N35" s="739"/>
      <c r="O35" s="739">
        <v>664</v>
      </c>
      <c r="P35" s="739">
        <f t="shared" si="7"/>
        <v>1100</v>
      </c>
      <c r="Q35" s="739">
        <v>151</v>
      </c>
      <c r="R35" s="739">
        <v>127</v>
      </c>
      <c r="S35" s="739">
        <v>204</v>
      </c>
      <c r="T35" s="739">
        <v>1329</v>
      </c>
      <c r="U35" s="739">
        <v>293</v>
      </c>
      <c r="V35" s="740" t="s">
        <v>1217</v>
      </c>
      <c r="W35" s="737" t="s">
        <v>1217</v>
      </c>
      <c r="X35" s="741">
        <v>533</v>
      </c>
      <c r="Y35" s="741">
        <v>382</v>
      </c>
      <c r="Z35" s="482">
        <v>881</v>
      </c>
      <c r="AA35" s="482">
        <v>2662</v>
      </c>
      <c r="AB35" s="739">
        <v>982</v>
      </c>
      <c r="AC35" s="482">
        <v>89</v>
      </c>
      <c r="AD35" s="739">
        <v>403</v>
      </c>
      <c r="AE35" s="482">
        <v>414</v>
      </c>
      <c r="AF35" s="482">
        <v>1275</v>
      </c>
      <c r="AG35" s="482">
        <v>2102</v>
      </c>
      <c r="AH35" s="482">
        <v>1034</v>
      </c>
      <c r="AI35" s="482">
        <v>2614</v>
      </c>
      <c r="AJ35" s="482">
        <v>439</v>
      </c>
      <c r="AK35" s="482">
        <v>1734</v>
      </c>
      <c r="AL35" s="482">
        <v>1870</v>
      </c>
      <c r="AM35" s="739">
        <f>3261+2399+2295</f>
        <v>7955</v>
      </c>
      <c r="AN35" s="739">
        <f t="shared" si="8"/>
        <v>27473</v>
      </c>
      <c r="AO35" s="739">
        <f t="shared" si="9"/>
        <v>28573</v>
      </c>
      <c r="AP35" s="436">
        <f t="shared" si="10"/>
        <v>-10609.712480000002</v>
      </c>
      <c r="AQ35" s="740" t="s">
        <v>1217</v>
      </c>
    </row>
    <row r="36" spans="1:43" s="480" customFormat="1" ht="9.9499999999999993" customHeight="1">
      <c r="A36" s="813" t="s">
        <v>1218</v>
      </c>
      <c r="B36" s="763">
        <v>61</v>
      </c>
      <c r="C36" s="763">
        <v>474</v>
      </c>
      <c r="D36" s="763">
        <v>0</v>
      </c>
      <c r="E36" s="763">
        <v>335</v>
      </c>
      <c r="F36" s="524">
        <f>57+154</f>
        <v>211</v>
      </c>
      <c r="G36" s="524">
        <v>12559</v>
      </c>
      <c r="H36" s="763">
        <v>0</v>
      </c>
      <c r="I36" s="763">
        <v>0</v>
      </c>
      <c r="J36" s="763">
        <v>0</v>
      </c>
      <c r="K36" s="763">
        <f t="shared" si="6"/>
        <v>4621.9823600000018</v>
      </c>
      <c r="L36" s="532">
        <f>15040+41.499*77.64</f>
        <v>18261.982360000002</v>
      </c>
      <c r="M36" s="532">
        <v>225</v>
      </c>
      <c r="N36" s="532"/>
      <c r="O36" s="532">
        <v>541</v>
      </c>
      <c r="P36" s="532">
        <f t="shared" si="7"/>
        <v>766</v>
      </c>
      <c r="Q36" s="532">
        <v>133</v>
      </c>
      <c r="R36" s="532">
        <v>132</v>
      </c>
      <c r="S36" s="532">
        <v>208</v>
      </c>
      <c r="T36" s="532">
        <v>992</v>
      </c>
      <c r="U36" s="532">
        <v>224</v>
      </c>
      <c r="V36" s="814" t="s">
        <v>1218</v>
      </c>
      <c r="W36" s="813" t="s">
        <v>1218</v>
      </c>
      <c r="X36" s="764">
        <v>370</v>
      </c>
      <c r="Y36" s="764">
        <v>373</v>
      </c>
      <c r="Z36" s="530">
        <v>1256</v>
      </c>
      <c r="AA36" s="530">
        <v>3555</v>
      </c>
      <c r="AB36" s="532">
        <v>1131</v>
      </c>
      <c r="AC36" s="530">
        <v>112</v>
      </c>
      <c r="AD36" s="532">
        <v>542</v>
      </c>
      <c r="AE36" s="530">
        <v>371</v>
      </c>
      <c r="AF36" s="530">
        <v>1247</v>
      </c>
      <c r="AG36" s="530">
        <v>1592</v>
      </c>
      <c r="AH36" s="530">
        <v>1061</v>
      </c>
      <c r="AI36" s="530">
        <v>2241</v>
      </c>
      <c r="AJ36" s="530">
        <v>341</v>
      </c>
      <c r="AK36" s="530">
        <v>1638</v>
      </c>
      <c r="AL36" s="530">
        <v>1549</v>
      </c>
      <c r="AM36" s="532">
        <f>3234+2138+2084</f>
        <v>7456</v>
      </c>
      <c r="AN36" s="532">
        <f t="shared" si="8"/>
        <v>26524</v>
      </c>
      <c r="AO36" s="532">
        <f t="shared" si="9"/>
        <v>27290</v>
      </c>
      <c r="AP36" s="524">
        <f t="shared" si="10"/>
        <v>-9028.0176399999982</v>
      </c>
      <c r="AQ36" s="814" t="s">
        <v>1218</v>
      </c>
    </row>
    <row r="37" spans="1:43" s="480" customFormat="1" ht="9.9499999999999993" customHeight="1">
      <c r="A37" s="737" t="s">
        <v>1209</v>
      </c>
      <c r="B37" s="738">
        <v>85</v>
      </c>
      <c r="C37" s="738">
        <v>406</v>
      </c>
      <c r="D37" s="738">
        <v>2</v>
      </c>
      <c r="E37" s="738">
        <v>268</v>
      </c>
      <c r="F37" s="436">
        <f>66+279</f>
        <v>345</v>
      </c>
      <c r="G37" s="436">
        <v>13056</v>
      </c>
      <c r="H37" s="738">
        <v>0</v>
      </c>
      <c r="I37" s="738">
        <v>0</v>
      </c>
      <c r="J37" s="738">
        <v>0</v>
      </c>
      <c r="K37" s="738">
        <f t="shared" si="6"/>
        <v>5401.8774799999992</v>
      </c>
      <c r="L37" s="739">
        <f>15869+47.596*77.63</f>
        <v>19563.877479999999</v>
      </c>
      <c r="M37" s="739">
        <v>200</v>
      </c>
      <c r="N37" s="739"/>
      <c r="O37" s="739">
        <v>544</v>
      </c>
      <c r="P37" s="739">
        <f t="shared" si="7"/>
        <v>744</v>
      </c>
      <c r="Q37" s="739">
        <v>191</v>
      </c>
      <c r="R37" s="739">
        <v>146</v>
      </c>
      <c r="S37" s="739">
        <v>433</v>
      </c>
      <c r="T37" s="739">
        <v>1104</v>
      </c>
      <c r="U37" s="739">
        <v>283</v>
      </c>
      <c r="V37" s="740" t="s">
        <v>1209</v>
      </c>
      <c r="W37" s="737" t="s">
        <v>1209</v>
      </c>
      <c r="X37" s="741">
        <v>564</v>
      </c>
      <c r="Y37" s="741">
        <v>382</v>
      </c>
      <c r="Z37" s="482">
        <v>43</v>
      </c>
      <c r="AA37" s="482">
        <v>2805</v>
      </c>
      <c r="AB37" s="739">
        <v>1038</v>
      </c>
      <c r="AC37" s="482">
        <v>59</v>
      </c>
      <c r="AD37" s="739">
        <v>68</v>
      </c>
      <c r="AE37" s="482">
        <v>456</v>
      </c>
      <c r="AF37" s="482">
        <v>1622</v>
      </c>
      <c r="AG37" s="482">
        <v>1529</v>
      </c>
      <c r="AH37" s="482">
        <v>1044</v>
      </c>
      <c r="AI37" s="482">
        <v>2104</v>
      </c>
      <c r="AJ37" s="482">
        <v>296</v>
      </c>
      <c r="AK37" s="482">
        <v>1819</v>
      </c>
      <c r="AL37" s="482">
        <v>1233</v>
      </c>
      <c r="AM37" s="739">
        <f>3130+2301+1736</f>
        <v>7167</v>
      </c>
      <c r="AN37" s="739">
        <f t="shared" si="8"/>
        <v>24386</v>
      </c>
      <c r="AO37" s="739">
        <f t="shared" si="9"/>
        <v>25130</v>
      </c>
      <c r="AP37" s="436">
        <f t="shared" si="10"/>
        <v>-5566.1225200000008</v>
      </c>
      <c r="AQ37" s="740" t="s">
        <v>1209</v>
      </c>
    </row>
    <row r="38" spans="1:43" s="329" customFormat="1" ht="9.9499999999999993" customHeight="1">
      <c r="A38" s="1154" t="s">
        <v>2376</v>
      </c>
      <c r="B38" s="1155">
        <f>SUM(B39:B50)</f>
        <v>856</v>
      </c>
      <c r="C38" s="1155">
        <f t="shared" ref="C38:U38" si="11">SUM(C39:C50)</f>
        <v>5351</v>
      </c>
      <c r="D38" s="1155">
        <f t="shared" si="11"/>
        <v>33</v>
      </c>
      <c r="E38" s="1155">
        <f t="shared" si="11"/>
        <v>3081</v>
      </c>
      <c r="F38" s="1155">
        <f t="shared" si="11"/>
        <v>3988</v>
      </c>
      <c r="G38" s="1155">
        <f t="shared" si="11"/>
        <v>156045</v>
      </c>
      <c r="H38" s="1155">
        <f t="shared" si="11"/>
        <v>291</v>
      </c>
      <c r="I38" s="1155">
        <f t="shared" si="11"/>
        <v>0</v>
      </c>
      <c r="J38" s="1155">
        <f t="shared" si="11"/>
        <v>0</v>
      </c>
      <c r="K38" s="1155">
        <f t="shared" si="11"/>
        <v>56840.869556799982</v>
      </c>
      <c r="L38" s="1155">
        <f t="shared" si="11"/>
        <v>226485.8695568</v>
      </c>
      <c r="M38" s="1155">
        <f t="shared" si="11"/>
        <v>4309.6000000000004</v>
      </c>
      <c r="N38" s="1155"/>
      <c r="O38" s="1155">
        <f t="shared" si="11"/>
        <v>7914.6</v>
      </c>
      <c r="P38" s="1155">
        <f t="shared" si="11"/>
        <v>12224.2</v>
      </c>
      <c r="Q38" s="1155">
        <f t="shared" si="11"/>
        <v>2409</v>
      </c>
      <c r="R38" s="1155">
        <f t="shared" si="11"/>
        <v>1668</v>
      </c>
      <c r="S38" s="1155">
        <f t="shared" si="11"/>
        <v>2745</v>
      </c>
      <c r="T38" s="1155">
        <f t="shared" si="11"/>
        <v>12223</v>
      </c>
      <c r="U38" s="1155">
        <f t="shared" si="11"/>
        <v>3057</v>
      </c>
      <c r="V38" s="1156" t="s">
        <v>2376</v>
      </c>
      <c r="W38" s="1154" t="s">
        <v>2376</v>
      </c>
      <c r="X38" s="1157">
        <f>SUM(X39:X50)</f>
        <v>5770</v>
      </c>
      <c r="Y38" s="1157">
        <f t="shared" ref="Y38:AP38" si="12">SUM(Y39:Y50)</f>
        <v>4632</v>
      </c>
      <c r="Z38" s="1157">
        <f t="shared" si="12"/>
        <v>6629</v>
      </c>
      <c r="AA38" s="1157">
        <f t="shared" si="12"/>
        <v>26175</v>
      </c>
      <c r="AB38" s="1157">
        <f t="shared" si="12"/>
        <v>12192</v>
      </c>
      <c r="AC38" s="1157">
        <f t="shared" si="12"/>
        <v>875</v>
      </c>
      <c r="AD38" s="1157">
        <f t="shared" si="12"/>
        <v>9647</v>
      </c>
      <c r="AE38" s="1157">
        <f t="shared" si="12"/>
        <v>4312</v>
      </c>
      <c r="AF38" s="1157">
        <f t="shared" si="12"/>
        <v>14333</v>
      </c>
      <c r="AG38" s="1157">
        <f t="shared" si="12"/>
        <v>17672</v>
      </c>
      <c r="AH38" s="1157">
        <f t="shared" si="12"/>
        <v>12377</v>
      </c>
      <c r="AI38" s="1157">
        <f t="shared" si="12"/>
        <v>28569</v>
      </c>
      <c r="AJ38" s="1157">
        <f t="shared" si="12"/>
        <v>4078</v>
      </c>
      <c r="AK38" s="1157">
        <f t="shared" si="12"/>
        <v>22909</v>
      </c>
      <c r="AL38" s="1157">
        <f t="shared" si="12"/>
        <v>20294</v>
      </c>
      <c r="AM38" s="1157">
        <f t="shared" si="12"/>
        <v>90395</v>
      </c>
      <c r="AN38" s="1157">
        <f t="shared" si="12"/>
        <v>302961</v>
      </c>
      <c r="AO38" s="1260">
        <f t="shared" si="12"/>
        <v>315185.2</v>
      </c>
      <c r="AP38" s="1260">
        <f t="shared" si="12"/>
        <v>-88699.330443200015</v>
      </c>
      <c r="AQ38" s="1156" t="s">
        <v>2376</v>
      </c>
    </row>
    <row r="39" spans="1:43" s="480" customFormat="1" ht="9.9499999999999993" customHeight="1">
      <c r="A39" s="737" t="s">
        <v>1211</v>
      </c>
      <c r="B39" s="738">
        <v>80</v>
      </c>
      <c r="C39" s="738">
        <v>363</v>
      </c>
      <c r="D39" s="738">
        <v>1</v>
      </c>
      <c r="E39" s="738">
        <v>281</v>
      </c>
      <c r="F39" s="436">
        <f>39+345</f>
        <v>384</v>
      </c>
      <c r="G39" s="436">
        <v>11776</v>
      </c>
      <c r="H39" s="738">
        <v>0</v>
      </c>
      <c r="I39" s="738">
        <v>0</v>
      </c>
      <c r="J39" s="738">
        <v>0</v>
      </c>
      <c r="K39" s="738">
        <f t="shared" si="6"/>
        <v>4705.3924899999984</v>
      </c>
      <c r="L39" s="739">
        <f>14323+42.111*77.59</f>
        <v>17590.392489999998</v>
      </c>
      <c r="M39" s="739">
        <v>190</v>
      </c>
      <c r="N39" s="739"/>
      <c r="O39" s="739">
        <v>648</v>
      </c>
      <c r="P39" s="739">
        <f t="shared" si="7"/>
        <v>838</v>
      </c>
      <c r="Q39" s="739">
        <v>164</v>
      </c>
      <c r="R39" s="739">
        <v>154</v>
      </c>
      <c r="S39" s="739">
        <v>142</v>
      </c>
      <c r="T39" s="739">
        <v>1202</v>
      </c>
      <c r="U39" s="739">
        <v>185</v>
      </c>
      <c r="V39" s="740" t="s">
        <v>1211</v>
      </c>
      <c r="W39" s="737" t="s">
        <v>1211</v>
      </c>
      <c r="X39" s="741">
        <v>395</v>
      </c>
      <c r="Y39" s="741">
        <v>402</v>
      </c>
      <c r="Z39" s="482">
        <v>699</v>
      </c>
      <c r="AA39" s="482">
        <v>3723</v>
      </c>
      <c r="AB39" s="739">
        <v>888</v>
      </c>
      <c r="AC39" s="482">
        <v>78</v>
      </c>
      <c r="AD39" s="739">
        <v>313</v>
      </c>
      <c r="AE39" s="482">
        <v>420</v>
      </c>
      <c r="AF39" s="482">
        <v>1164</v>
      </c>
      <c r="AG39" s="482">
        <v>1324</v>
      </c>
      <c r="AH39" s="482">
        <v>969</v>
      </c>
      <c r="AI39" s="482">
        <v>2092</v>
      </c>
      <c r="AJ39" s="482">
        <v>332</v>
      </c>
      <c r="AK39" s="482">
        <v>1198</v>
      </c>
      <c r="AL39" s="482">
        <v>1406</v>
      </c>
      <c r="AM39" s="739">
        <f>2934+2101+1559</f>
        <v>6594</v>
      </c>
      <c r="AN39" s="739">
        <f t="shared" si="8"/>
        <v>23844</v>
      </c>
      <c r="AO39" s="739">
        <f t="shared" si="9"/>
        <v>24682</v>
      </c>
      <c r="AP39" s="436">
        <f t="shared" si="10"/>
        <v>-7091.6075100000016</v>
      </c>
      <c r="AQ39" s="740" t="s">
        <v>1211</v>
      </c>
    </row>
    <row r="40" spans="1:43" s="480" customFormat="1" ht="9.9499999999999993" customHeight="1">
      <c r="A40" s="813" t="s">
        <v>288</v>
      </c>
      <c r="B40" s="763">
        <v>64</v>
      </c>
      <c r="C40" s="763">
        <v>443</v>
      </c>
      <c r="D40" s="763">
        <v>1</v>
      </c>
      <c r="E40" s="763">
        <v>333</v>
      </c>
      <c r="F40" s="524">
        <f>37+392</f>
        <v>429</v>
      </c>
      <c r="G40" s="524">
        <v>14843</v>
      </c>
      <c r="H40" s="763">
        <v>130</v>
      </c>
      <c r="I40" s="763">
        <v>0</v>
      </c>
      <c r="J40" s="763">
        <v>0</v>
      </c>
      <c r="K40" s="763">
        <f t="shared" si="6"/>
        <v>4567.1996199999994</v>
      </c>
      <c r="L40" s="532">
        <f>17774+39.197*77.46</f>
        <v>20810.199619999999</v>
      </c>
      <c r="M40" s="532">
        <v>234</v>
      </c>
      <c r="N40" s="532"/>
      <c r="O40" s="532">
        <v>512</v>
      </c>
      <c r="P40" s="532">
        <f t="shared" si="7"/>
        <v>746</v>
      </c>
      <c r="Q40" s="532">
        <v>258</v>
      </c>
      <c r="R40" s="532">
        <v>202</v>
      </c>
      <c r="S40" s="532">
        <v>104</v>
      </c>
      <c r="T40" s="532">
        <v>970</v>
      </c>
      <c r="U40" s="532">
        <v>165</v>
      </c>
      <c r="V40" s="814" t="s">
        <v>288</v>
      </c>
      <c r="W40" s="813" t="s">
        <v>288</v>
      </c>
      <c r="X40" s="764">
        <v>941</v>
      </c>
      <c r="Y40" s="764">
        <v>397</v>
      </c>
      <c r="Z40" s="530">
        <v>1314</v>
      </c>
      <c r="AA40" s="530">
        <v>3059</v>
      </c>
      <c r="AB40" s="532">
        <v>1088</v>
      </c>
      <c r="AC40" s="530">
        <v>79</v>
      </c>
      <c r="AD40" s="532">
        <v>470</v>
      </c>
      <c r="AE40" s="530">
        <v>453</v>
      </c>
      <c r="AF40" s="530">
        <v>1335</v>
      </c>
      <c r="AG40" s="530">
        <v>1732</v>
      </c>
      <c r="AH40" s="530">
        <v>1104</v>
      </c>
      <c r="AI40" s="530">
        <v>2490</v>
      </c>
      <c r="AJ40" s="530">
        <v>307</v>
      </c>
      <c r="AK40" s="530">
        <v>1938</v>
      </c>
      <c r="AL40" s="530">
        <v>1588</v>
      </c>
      <c r="AM40" s="532">
        <f>3250+2526+1967</f>
        <v>7743</v>
      </c>
      <c r="AN40" s="532">
        <f t="shared" si="8"/>
        <v>27737</v>
      </c>
      <c r="AO40" s="532">
        <f t="shared" si="9"/>
        <v>28483</v>
      </c>
      <c r="AP40" s="524">
        <f t="shared" si="10"/>
        <v>-7672.8003800000006</v>
      </c>
      <c r="AQ40" s="814" t="s">
        <v>1212</v>
      </c>
    </row>
    <row r="41" spans="1:43" s="480" customFormat="1" ht="9.9499999999999993" customHeight="1">
      <c r="A41" s="737" t="s">
        <v>1206</v>
      </c>
      <c r="B41" s="738">
        <v>58</v>
      </c>
      <c r="C41" s="738">
        <v>365</v>
      </c>
      <c r="D41" s="738">
        <v>1</v>
      </c>
      <c r="E41" s="738">
        <v>206</v>
      </c>
      <c r="F41" s="436">
        <f>39+360</f>
        <v>399</v>
      </c>
      <c r="G41" s="436">
        <v>12909</v>
      </c>
      <c r="H41" s="738">
        <v>1</v>
      </c>
      <c r="I41" s="738">
        <v>0</v>
      </c>
      <c r="J41" s="738">
        <v>0</v>
      </c>
      <c r="K41" s="738">
        <f t="shared" si="6"/>
        <v>5206.8456000000006</v>
      </c>
      <c r="L41" s="739">
        <f>15613+45.644*77.4</f>
        <v>19145.845600000001</v>
      </c>
      <c r="M41" s="739">
        <v>270</v>
      </c>
      <c r="N41" s="739"/>
      <c r="O41" s="739">
        <v>578</v>
      </c>
      <c r="P41" s="739">
        <f t="shared" si="7"/>
        <v>848</v>
      </c>
      <c r="Q41" s="739">
        <v>300</v>
      </c>
      <c r="R41" s="739">
        <v>188</v>
      </c>
      <c r="S41" s="739">
        <v>192</v>
      </c>
      <c r="T41" s="739">
        <v>1213</v>
      </c>
      <c r="U41" s="739">
        <v>241</v>
      </c>
      <c r="V41" s="740" t="s">
        <v>1206</v>
      </c>
      <c r="W41" s="737" t="s">
        <v>1206</v>
      </c>
      <c r="X41" s="741">
        <v>531</v>
      </c>
      <c r="Y41" s="741">
        <v>420</v>
      </c>
      <c r="Z41" s="482">
        <v>669</v>
      </c>
      <c r="AA41" s="482">
        <v>2533</v>
      </c>
      <c r="AB41" s="739">
        <v>1090</v>
      </c>
      <c r="AC41" s="482">
        <v>76</v>
      </c>
      <c r="AD41" s="739">
        <v>366</v>
      </c>
      <c r="AE41" s="482">
        <v>372</v>
      </c>
      <c r="AF41" s="482">
        <v>1284</v>
      </c>
      <c r="AG41" s="482">
        <v>1850</v>
      </c>
      <c r="AH41" s="482">
        <v>1207</v>
      </c>
      <c r="AI41" s="482">
        <v>2301</v>
      </c>
      <c r="AJ41" s="482">
        <v>282</v>
      </c>
      <c r="AK41" s="482">
        <v>1932</v>
      </c>
      <c r="AL41" s="482">
        <v>1659</v>
      </c>
      <c r="AM41" s="739">
        <f>3462+2775+1955</f>
        <v>8192</v>
      </c>
      <c r="AN41" s="739">
        <f t="shared" si="8"/>
        <v>26898</v>
      </c>
      <c r="AO41" s="739">
        <f t="shared" si="9"/>
        <v>27746</v>
      </c>
      <c r="AP41" s="436">
        <f t="shared" si="10"/>
        <v>-8600.1543999999994</v>
      </c>
      <c r="AQ41" s="740" t="s">
        <v>1206</v>
      </c>
    </row>
    <row r="42" spans="1:43" s="480" customFormat="1" ht="9.9499999999999993" customHeight="1">
      <c r="A42" s="813" t="s">
        <v>1213</v>
      </c>
      <c r="B42" s="763">
        <v>86</v>
      </c>
      <c r="C42" s="763">
        <v>448</v>
      </c>
      <c r="D42" s="763">
        <v>1</v>
      </c>
      <c r="E42" s="763">
        <v>293</v>
      </c>
      <c r="F42" s="524">
        <f>44+330</f>
        <v>374</v>
      </c>
      <c r="G42" s="524">
        <v>11989</v>
      </c>
      <c r="H42" s="763">
        <v>0</v>
      </c>
      <c r="I42" s="763">
        <v>0</v>
      </c>
      <c r="J42" s="763">
        <v>0</v>
      </c>
      <c r="K42" s="763">
        <f t="shared" si="6"/>
        <v>3511.0813999999991</v>
      </c>
      <c r="L42" s="532">
        <f>14654+26.461*77.4</f>
        <v>16702.081399999999</v>
      </c>
      <c r="M42" s="532">
        <v>325</v>
      </c>
      <c r="N42" s="532"/>
      <c r="O42" s="532">
        <v>943</v>
      </c>
      <c r="P42" s="532">
        <f t="shared" si="7"/>
        <v>1268</v>
      </c>
      <c r="Q42" s="532">
        <v>205</v>
      </c>
      <c r="R42" s="532">
        <v>141</v>
      </c>
      <c r="S42" s="532">
        <v>447</v>
      </c>
      <c r="T42" s="532">
        <v>925</v>
      </c>
      <c r="U42" s="532">
        <v>261</v>
      </c>
      <c r="V42" s="814" t="s">
        <v>1213</v>
      </c>
      <c r="W42" s="813" t="s">
        <v>1213</v>
      </c>
      <c r="X42" s="764">
        <v>426</v>
      </c>
      <c r="Y42" s="764">
        <v>354</v>
      </c>
      <c r="Z42" s="530">
        <v>641</v>
      </c>
      <c r="AA42" s="530">
        <v>2365</v>
      </c>
      <c r="AB42" s="532">
        <v>1000</v>
      </c>
      <c r="AC42" s="530">
        <v>76</v>
      </c>
      <c r="AD42" s="532">
        <v>1042</v>
      </c>
      <c r="AE42" s="530">
        <v>386</v>
      </c>
      <c r="AF42" s="530">
        <v>1228</v>
      </c>
      <c r="AG42" s="530">
        <v>1288</v>
      </c>
      <c r="AH42" s="530">
        <v>1039</v>
      </c>
      <c r="AI42" s="530">
        <v>2182</v>
      </c>
      <c r="AJ42" s="530">
        <v>344</v>
      </c>
      <c r="AK42" s="530">
        <v>2300</v>
      </c>
      <c r="AL42" s="530">
        <v>1551</v>
      </c>
      <c r="AM42" s="532">
        <f>3471+2021+1862</f>
        <v>7354</v>
      </c>
      <c r="AN42" s="532">
        <f t="shared" si="8"/>
        <v>25555</v>
      </c>
      <c r="AO42" s="532">
        <f t="shared" si="9"/>
        <v>26823</v>
      </c>
      <c r="AP42" s="524">
        <f t="shared" si="10"/>
        <v>-10120.918600000001</v>
      </c>
      <c r="AQ42" s="814" t="s">
        <v>1213</v>
      </c>
    </row>
    <row r="43" spans="1:43" s="480" customFormat="1" ht="9.9499999999999993" customHeight="1">
      <c r="A43" s="737" t="s">
        <v>1214</v>
      </c>
      <c r="B43" s="738">
        <v>71</v>
      </c>
      <c r="C43" s="738">
        <v>482</v>
      </c>
      <c r="D43" s="738">
        <v>0</v>
      </c>
      <c r="E43" s="738">
        <v>291</v>
      </c>
      <c r="F43" s="436">
        <f>51+351</f>
        <v>402</v>
      </c>
      <c r="G43" s="436">
        <v>11699</v>
      </c>
      <c r="H43" s="738">
        <v>0</v>
      </c>
      <c r="I43" s="738">
        <v>0</v>
      </c>
      <c r="J43" s="738">
        <v>0</v>
      </c>
      <c r="K43" s="738">
        <f t="shared" si="6"/>
        <v>4854.2763400000003</v>
      </c>
      <c r="L43" s="739">
        <f>14766+39.134*77.51</f>
        <v>17799.27634</v>
      </c>
      <c r="M43" s="739">
        <v>511</v>
      </c>
      <c r="N43" s="739"/>
      <c r="O43" s="739">
        <v>742</v>
      </c>
      <c r="P43" s="739">
        <f t="shared" si="7"/>
        <v>1253</v>
      </c>
      <c r="Q43" s="739">
        <v>157</v>
      </c>
      <c r="R43" s="739">
        <v>110</v>
      </c>
      <c r="S43" s="739">
        <v>135</v>
      </c>
      <c r="T43" s="739">
        <v>1036</v>
      </c>
      <c r="U43" s="739">
        <v>215</v>
      </c>
      <c r="V43" s="740" t="s">
        <v>1214</v>
      </c>
      <c r="W43" s="737" t="s">
        <v>1214</v>
      </c>
      <c r="X43" s="741">
        <v>350</v>
      </c>
      <c r="Y43" s="741">
        <v>393</v>
      </c>
      <c r="Z43" s="482">
        <v>590</v>
      </c>
      <c r="AA43" s="482">
        <v>1962</v>
      </c>
      <c r="AB43" s="739">
        <v>1077</v>
      </c>
      <c r="AC43" s="482">
        <v>79</v>
      </c>
      <c r="AD43" s="739">
        <v>876</v>
      </c>
      <c r="AE43" s="482">
        <v>333</v>
      </c>
      <c r="AF43" s="482">
        <v>1109</v>
      </c>
      <c r="AG43" s="482">
        <v>1215</v>
      </c>
      <c r="AH43" s="482">
        <v>1067</v>
      </c>
      <c r="AI43" s="482">
        <v>2283</v>
      </c>
      <c r="AJ43" s="482">
        <v>346</v>
      </c>
      <c r="AK43" s="482">
        <v>1961</v>
      </c>
      <c r="AL43" s="482">
        <v>1769</v>
      </c>
      <c r="AM43" s="739">
        <f>3114+2130+1981</f>
        <v>7225</v>
      </c>
      <c r="AN43" s="739">
        <f t="shared" si="8"/>
        <v>24288</v>
      </c>
      <c r="AO43" s="739">
        <f t="shared" si="9"/>
        <v>25541</v>
      </c>
      <c r="AP43" s="436">
        <f t="shared" si="10"/>
        <v>-7741.7236599999997</v>
      </c>
      <c r="AQ43" s="740" t="s">
        <v>1214</v>
      </c>
    </row>
    <row r="44" spans="1:43" s="480" customFormat="1" ht="9.9499999999999993" customHeight="1">
      <c r="A44" s="813" t="s">
        <v>1207</v>
      </c>
      <c r="B44" s="763">
        <v>61</v>
      </c>
      <c r="C44" s="763">
        <v>460</v>
      </c>
      <c r="D44" s="763">
        <v>1</v>
      </c>
      <c r="E44" s="763">
        <v>273</v>
      </c>
      <c r="F44" s="524">
        <f>55+276</f>
        <v>331</v>
      </c>
      <c r="G44" s="524">
        <v>12339</v>
      </c>
      <c r="H44" s="763">
        <v>84</v>
      </c>
      <c r="I44" s="763">
        <v>0</v>
      </c>
      <c r="J44" s="763">
        <v>0</v>
      </c>
      <c r="K44" s="763">
        <f t="shared" si="6"/>
        <v>5016.3259599999983</v>
      </c>
      <c r="L44" s="532">
        <f>15016+45.586*77.86</f>
        <v>18565.325959999998</v>
      </c>
      <c r="M44" s="532">
        <v>463</v>
      </c>
      <c r="N44" s="532"/>
      <c r="O44" s="532">
        <v>539</v>
      </c>
      <c r="P44" s="532">
        <f t="shared" si="7"/>
        <v>1002</v>
      </c>
      <c r="Q44" s="532">
        <v>184</v>
      </c>
      <c r="R44" s="532">
        <v>106</v>
      </c>
      <c r="S44" s="532">
        <v>478</v>
      </c>
      <c r="T44" s="532">
        <v>1265</v>
      </c>
      <c r="U44" s="532">
        <v>176</v>
      </c>
      <c r="V44" s="814" t="s">
        <v>1207</v>
      </c>
      <c r="W44" s="813" t="s">
        <v>1207</v>
      </c>
      <c r="X44" s="764">
        <v>723</v>
      </c>
      <c r="Y44" s="764">
        <v>461</v>
      </c>
      <c r="Z44" s="530">
        <v>481</v>
      </c>
      <c r="AA44" s="530">
        <v>1494</v>
      </c>
      <c r="AB44" s="532">
        <v>995</v>
      </c>
      <c r="AC44" s="530">
        <v>101</v>
      </c>
      <c r="AD44" s="532">
        <v>1651</v>
      </c>
      <c r="AE44" s="530">
        <v>373</v>
      </c>
      <c r="AF44" s="530">
        <v>1366</v>
      </c>
      <c r="AG44" s="530">
        <v>1803</v>
      </c>
      <c r="AH44" s="530">
        <v>1110</v>
      </c>
      <c r="AI44" s="530">
        <v>2132</v>
      </c>
      <c r="AJ44" s="530">
        <v>329</v>
      </c>
      <c r="AK44" s="530">
        <v>1694</v>
      </c>
      <c r="AL44" s="530">
        <v>1985</v>
      </c>
      <c r="AM44" s="532">
        <f>3982+2228+2073</f>
        <v>8283</v>
      </c>
      <c r="AN44" s="532">
        <f t="shared" si="8"/>
        <v>27190</v>
      </c>
      <c r="AO44" s="532">
        <f t="shared" si="9"/>
        <v>28192</v>
      </c>
      <c r="AP44" s="524">
        <f t="shared" si="10"/>
        <v>-9626.6740400000017</v>
      </c>
      <c r="AQ44" s="814" t="s">
        <v>1207</v>
      </c>
    </row>
    <row r="45" spans="1:43" s="480" customFormat="1" ht="9.9499999999999993" customHeight="1">
      <c r="A45" s="737" t="s">
        <v>1215</v>
      </c>
      <c r="B45" s="738">
        <v>87</v>
      </c>
      <c r="C45" s="738">
        <v>449</v>
      </c>
      <c r="D45" s="738">
        <v>9</v>
      </c>
      <c r="E45" s="738">
        <v>263</v>
      </c>
      <c r="F45" s="436">
        <f>57+352</f>
        <v>409</v>
      </c>
      <c r="G45" s="436">
        <v>13090</v>
      </c>
      <c r="H45" s="738">
        <v>0</v>
      </c>
      <c r="I45" s="738">
        <v>0</v>
      </c>
      <c r="J45" s="738">
        <v>0</v>
      </c>
      <c r="K45" s="738">
        <f t="shared" si="6"/>
        <v>4737.793099999999</v>
      </c>
      <c r="L45" s="739">
        <f>15842+41.13*77.87</f>
        <v>19044.793099999999</v>
      </c>
      <c r="M45" s="739">
        <v>447</v>
      </c>
      <c r="N45" s="739"/>
      <c r="O45" s="739">
        <v>489</v>
      </c>
      <c r="P45" s="739">
        <f t="shared" si="7"/>
        <v>936</v>
      </c>
      <c r="Q45" s="739">
        <v>260</v>
      </c>
      <c r="R45" s="739">
        <v>109</v>
      </c>
      <c r="S45" s="739">
        <v>381</v>
      </c>
      <c r="T45" s="739">
        <v>1257</v>
      </c>
      <c r="U45" s="739">
        <v>385</v>
      </c>
      <c r="V45" s="740" t="s">
        <v>1215</v>
      </c>
      <c r="W45" s="737" t="s">
        <v>1215</v>
      </c>
      <c r="X45" s="741">
        <v>326</v>
      </c>
      <c r="Y45" s="741">
        <v>286</v>
      </c>
      <c r="Z45" s="482">
        <v>468</v>
      </c>
      <c r="AA45" s="482">
        <v>1344</v>
      </c>
      <c r="AB45" s="739">
        <v>1093</v>
      </c>
      <c r="AC45" s="482">
        <v>66</v>
      </c>
      <c r="AD45" s="739">
        <v>1276</v>
      </c>
      <c r="AE45" s="482">
        <v>323</v>
      </c>
      <c r="AF45" s="482">
        <v>1133</v>
      </c>
      <c r="AG45" s="482">
        <v>1328</v>
      </c>
      <c r="AH45" s="482">
        <v>979</v>
      </c>
      <c r="AI45" s="482">
        <v>2485</v>
      </c>
      <c r="AJ45" s="482">
        <v>304</v>
      </c>
      <c r="AK45" s="482">
        <v>2175</v>
      </c>
      <c r="AL45" s="482">
        <v>1691</v>
      </c>
      <c r="AM45" s="739">
        <f>2956+2251+1931</f>
        <v>7138</v>
      </c>
      <c r="AN45" s="739">
        <f t="shared" si="8"/>
        <v>24807</v>
      </c>
      <c r="AO45" s="739">
        <f t="shared" si="9"/>
        <v>25743</v>
      </c>
      <c r="AP45" s="436">
        <f t="shared" si="10"/>
        <v>-6698.206900000001</v>
      </c>
      <c r="AQ45" s="740" t="s">
        <v>1215</v>
      </c>
    </row>
    <row r="46" spans="1:43" s="480" customFormat="1" ht="9.9499999999999993" customHeight="1">
      <c r="A46" s="813" t="s">
        <v>1216</v>
      </c>
      <c r="B46" s="763">
        <v>69</v>
      </c>
      <c r="C46" s="763">
        <v>479</v>
      </c>
      <c r="D46" s="763">
        <v>14</v>
      </c>
      <c r="E46" s="763">
        <v>238</v>
      </c>
      <c r="F46" s="524">
        <f>59+202</f>
        <v>261</v>
      </c>
      <c r="G46" s="524">
        <v>13646</v>
      </c>
      <c r="H46" s="763">
        <v>0</v>
      </c>
      <c r="I46" s="763">
        <v>0</v>
      </c>
      <c r="J46" s="763">
        <v>0</v>
      </c>
      <c r="K46" s="763">
        <f t="shared" si="6"/>
        <v>4486.8391999999985</v>
      </c>
      <c r="L46" s="532">
        <f>16178+38.764*77.8</f>
        <v>19193.839199999999</v>
      </c>
      <c r="M46" s="532">
        <v>419</v>
      </c>
      <c r="N46" s="532"/>
      <c r="O46" s="532">
        <v>390</v>
      </c>
      <c r="P46" s="532">
        <f t="shared" si="7"/>
        <v>809</v>
      </c>
      <c r="Q46" s="532">
        <v>101</v>
      </c>
      <c r="R46" s="532">
        <v>116</v>
      </c>
      <c r="S46" s="532">
        <v>272</v>
      </c>
      <c r="T46" s="532">
        <v>1077</v>
      </c>
      <c r="U46" s="532">
        <v>241</v>
      </c>
      <c r="V46" s="814" t="s">
        <v>1216</v>
      </c>
      <c r="W46" s="813" t="s">
        <v>1216</v>
      </c>
      <c r="X46" s="764">
        <v>440</v>
      </c>
      <c r="Y46" s="764">
        <v>359</v>
      </c>
      <c r="Z46" s="530">
        <v>250</v>
      </c>
      <c r="AA46" s="530">
        <v>720</v>
      </c>
      <c r="AB46" s="532">
        <v>1066</v>
      </c>
      <c r="AC46" s="530">
        <v>68</v>
      </c>
      <c r="AD46" s="532">
        <v>1044</v>
      </c>
      <c r="AE46" s="530">
        <v>347</v>
      </c>
      <c r="AF46" s="530">
        <v>1059</v>
      </c>
      <c r="AG46" s="530">
        <v>1373</v>
      </c>
      <c r="AH46" s="530">
        <v>1035</v>
      </c>
      <c r="AI46" s="530">
        <v>2509</v>
      </c>
      <c r="AJ46" s="530">
        <v>340</v>
      </c>
      <c r="AK46" s="530">
        <v>1412</v>
      </c>
      <c r="AL46" s="530">
        <v>1782</v>
      </c>
      <c r="AM46" s="532">
        <f>2991+2145+2075</f>
        <v>7211</v>
      </c>
      <c r="AN46" s="532">
        <f t="shared" si="8"/>
        <v>22822</v>
      </c>
      <c r="AO46" s="532">
        <f t="shared" si="9"/>
        <v>23631</v>
      </c>
      <c r="AP46" s="524">
        <f t="shared" si="10"/>
        <v>-4437.1608000000015</v>
      </c>
      <c r="AQ46" s="814" t="s">
        <v>1216</v>
      </c>
    </row>
    <row r="47" spans="1:43" s="480" customFormat="1" ht="9.9499999999999993" customHeight="1">
      <c r="A47" s="737" t="s">
        <v>917</v>
      </c>
      <c r="B47" s="738">
        <v>85</v>
      </c>
      <c r="C47" s="738">
        <v>442</v>
      </c>
      <c r="D47" s="738">
        <v>3</v>
      </c>
      <c r="E47" s="738">
        <v>206</v>
      </c>
      <c r="F47" s="436">
        <f>57+202</f>
        <v>259</v>
      </c>
      <c r="G47" s="436">
        <v>14635</v>
      </c>
      <c r="H47" s="738">
        <v>76</v>
      </c>
      <c r="I47" s="738">
        <v>0</v>
      </c>
      <c r="J47" s="738">
        <v>0</v>
      </c>
      <c r="K47" s="738">
        <f t="shared" si="6"/>
        <v>5085.4936000000016</v>
      </c>
      <c r="L47" s="739">
        <f>17274+45.212*77.8</f>
        <v>20791.493600000002</v>
      </c>
      <c r="M47" s="739">
        <v>531</v>
      </c>
      <c r="N47" s="739"/>
      <c r="O47" s="739">
        <v>858</v>
      </c>
      <c r="P47" s="739">
        <f t="shared" si="7"/>
        <v>1389</v>
      </c>
      <c r="Q47" s="739">
        <v>239</v>
      </c>
      <c r="R47" s="739">
        <v>134</v>
      </c>
      <c r="S47" s="739">
        <v>119</v>
      </c>
      <c r="T47" s="739">
        <v>906</v>
      </c>
      <c r="U47" s="739">
        <v>266</v>
      </c>
      <c r="V47" s="740" t="s">
        <v>917</v>
      </c>
      <c r="W47" s="737" t="s">
        <v>1208</v>
      </c>
      <c r="X47" s="741">
        <v>628</v>
      </c>
      <c r="Y47" s="741">
        <v>356</v>
      </c>
      <c r="Z47" s="482">
        <v>416</v>
      </c>
      <c r="AA47" s="482">
        <v>2915</v>
      </c>
      <c r="AB47" s="739">
        <v>972</v>
      </c>
      <c r="AC47" s="482">
        <v>63</v>
      </c>
      <c r="AD47" s="739">
        <v>1409</v>
      </c>
      <c r="AE47" s="482">
        <v>285</v>
      </c>
      <c r="AF47" s="482">
        <v>1206</v>
      </c>
      <c r="AG47" s="482">
        <v>1477</v>
      </c>
      <c r="AH47" s="482">
        <v>927</v>
      </c>
      <c r="AI47" s="482">
        <v>2462</v>
      </c>
      <c r="AJ47" s="482">
        <v>397</v>
      </c>
      <c r="AK47" s="482">
        <v>1367</v>
      </c>
      <c r="AL47" s="482">
        <v>2019</v>
      </c>
      <c r="AM47" s="739">
        <f>3009+2253+1733</f>
        <v>6995</v>
      </c>
      <c r="AN47" s="739">
        <f t="shared" si="8"/>
        <v>25558</v>
      </c>
      <c r="AO47" s="739">
        <f t="shared" si="9"/>
        <v>26947</v>
      </c>
      <c r="AP47" s="436">
        <f t="shared" si="10"/>
        <v>-6155.5063999999984</v>
      </c>
      <c r="AQ47" s="740" t="s">
        <v>1208</v>
      </c>
    </row>
    <row r="48" spans="1:43" s="480" customFormat="1" ht="9.9499999999999993" customHeight="1">
      <c r="A48" s="813" t="s">
        <v>1217</v>
      </c>
      <c r="B48" s="763">
        <v>77</v>
      </c>
      <c r="C48" s="763">
        <v>509</v>
      </c>
      <c r="D48" s="763">
        <v>2</v>
      </c>
      <c r="E48" s="763">
        <v>242</v>
      </c>
      <c r="F48" s="524">
        <f>43+226</f>
        <v>269</v>
      </c>
      <c r="G48" s="524">
        <v>12723</v>
      </c>
      <c r="H48" s="763">
        <v>0</v>
      </c>
      <c r="I48" s="763">
        <v>0</v>
      </c>
      <c r="J48" s="763">
        <v>0</v>
      </c>
      <c r="K48" s="763">
        <f t="shared" si="6"/>
        <v>4216.3329999999987</v>
      </c>
      <c r="L48" s="532">
        <f>15122+37.485*77.8</f>
        <v>18038.332999999999</v>
      </c>
      <c r="M48" s="532">
        <v>410.6</v>
      </c>
      <c r="N48" s="532"/>
      <c r="O48" s="532">
        <v>845.6</v>
      </c>
      <c r="P48" s="532">
        <f t="shared" si="7"/>
        <v>1256.2</v>
      </c>
      <c r="Q48" s="532">
        <v>201</v>
      </c>
      <c r="R48" s="532">
        <v>127</v>
      </c>
      <c r="S48" s="532">
        <v>155</v>
      </c>
      <c r="T48" s="532">
        <v>457</v>
      </c>
      <c r="U48" s="532">
        <v>349</v>
      </c>
      <c r="V48" s="814" t="s">
        <v>1217</v>
      </c>
      <c r="W48" s="813" t="s">
        <v>1217</v>
      </c>
      <c r="X48" s="764">
        <v>295</v>
      </c>
      <c r="Y48" s="764">
        <v>348</v>
      </c>
      <c r="Z48" s="530">
        <v>349</v>
      </c>
      <c r="AA48" s="530">
        <v>2128</v>
      </c>
      <c r="AB48" s="532">
        <v>898</v>
      </c>
      <c r="AC48" s="530">
        <v>56</v>
      </c>
      <c r="AD48" s="532">
        <v>640</v>
      </c>
      <c r="AE48" s="530">
        <v>322</v>
      </c>
      <c r="AF48" s="530">
        <v>1024</v>
      </c>
      <c r="AG48" s="530">
        <v>1476</v>
      </c>
      <c r="AH48" s="530">
        <v>952</v>
      </c>
      <c r="AI48" s="530">
        <v>2568</v>
      </c>
      <c r="AJ48" s="530">
        <v>389</v>
      </c>
      <c r="AK48" s="530">
        <v>1879</v>
      </c>
      <c r="AL48" s="530">
        <v>1675</v>
      </c>
      <c r="AM48" s="532">
        <f>2969+2479+2163</f>
        <v>7611</v>
      </c>
      <c r="AN48" s="532">
        <f t="shared" si="8"/>
        <v>23899</v>
      </c>
      <c r="AO48" s="532">
        <f t="shared" si="9"/>
        <v>25155.200000000001</v>
      </c>
      <c r="AP48" s="524">
        <f t="shared" si="10"/>
        <v>-7116.867000000002</v>
      </c>
      <c r="AQ48" s="814" t="s">
        <v>1217</v>
      </c>
    </row>
    <row r="49" spans="1:43" s="480" customFormat="1" ht="9.9499999999999993" customHeight="1">
      <c r="A49" s="737" t="s">
        <v>1218</v>
      </c>
      <c r="B49" s="738">
        <v>67</v>
      </c>
      <c r="C49" s="738">
        <v>485</v>
      </c>
      <c r="D49" s="738">
        <v>0</v>
      </c>
      <c r="E49" s="738">
        <v>256</v>
      </c>
      <c r="F49" s="436">
        <f>52+175</f>
        <v>227</v>
      </c>
      <c r="G49" s="436">
        <v>13167</v>
      </c>
      <c r="H49" s="738">
        <v>0</v>
      </c>
      <c r="I49" s="738">
        <v>0</v>
      </c>
      <c r="J49" s="738">
        <v>0</v>
      </c>
      <c r="K49" s="738">
        <f t="shared" si="6"/>
        <v>4841.273799999999</v>
      </c>
      <c r="L49" s="739">
        <f>15634+43.821*77.8</f>
        <v>19043.273799999999</v>
      </c>
      <c r="M49" s="739">
        <v>303</v>
      </c>
      <c r="N49" s="739"/>
      <c r="O49" s="739">
        <v>759</v>
      </c>
      <c r="P49" s="739">
        <f t="shared" si="7"/>
        <v>1062</v>
      </c>
      <c r="Q49" s="739">
        <v>156</v>
      </c>
      <c r="R49" s="739">
        <v>139</v>
      </c>
      <c r="S49" s="739">
        <v>52</v>
      </c>
      <c r="T49" s="739">
        <v>1064</v>
      </c>
      <c r="U49" s="739">
        <v>294</v>
      </c>
      <c r="V49" s="740" t="s">
        <v>1218</v>
      </c>
      <c r="W49" s="737" t="s">
        <v>1218</v>
      </c>
      <c r="X49" s="741">
        <v>267</v>
      </c>
      <c r="Y49" s="741">
        <v>444</v>
      </c>
      <c r="Z49" s="482">
        <v>356</v>
      </c>
      <c r="AA49" s="482">
        <v>1715</v>
      </c>
      <c r="AB49" s="739">
        <v>969</v>
      </c>
      <c r="AC49" s="482">
        <v>52</v>
      </c>
      <c r="AD49" s="739">
        <v>442</v>
      </c>
      <c r="AE49" s="482">
        <v>361</v>
      </c>
      <c r="AF49" s="482">
        <v>1209</v>
      </c>
      <c r="AG49" s="482">
        <v>1498</v>
      </c>
      <c r="AH49" s="482">
        <v>961</v>
      </c>
      <c r="AI49" s="482">
        <v>2629</v>
      </c>
      <c r="AJ49" s="482">
        <v>379</v>
      </c>
      <c r="AK49" s="482">
        <v>2712</v>
      </c>
      <c r="AL49" s="482">
        <v>1541</v>
      </c>
      <c r="AM49" s="739">
        <f>3110+2360+2220</f>
        <v>7690</v>
      </c>
      <c r="AN49" s="739">
        <f t="shared" si="8"/>
        <v>24930</v>
      </c>
      <c r="AO49" s="739">
        <f t="shared" si="9"/>
        <v>25992</v>
      </c>
      <c r="AP49" s="436">
        <f t="shared" si="10"/>
        <v>-6948.726200000001</v>
      </c>
      <c r="AQ49" s="740" t="s">
        <v>1218</v>
      </c>
    </row>
    <row r="50" spans="1:43" s="480" customFormat="1" ht="9.9499999999999993" customHeight="1">
      <c r="A50" s="813" t="s">
        <v>1209</v>
      </c>
      <c r="B50" s="763">
        <v>51</v>
      </c>
      <c r="C50" s="763">
        <v>426</v>
      </c>
      <c r="D50" s="763">
        <v>0</v>
      </c>
      <c r="E50" s="763">
        <v>199</v>
      </c>
      <c r="F50" s="524">
        <f>41+203</f>
        <v>244</v>
      </c>
      <c r="G50" s="524">
        <v>13229</v>
      </c>
      <c r="H50" s="763">
        <v>0</v>
      </c>
      <c r="I50" s="763">
        <v>0</v>
      </c>
      <c r="J50" s="763">
        <v>0</v>
      </c>
      <c r="K50" s="763">
        <f t="shared" si="6"/>
        <v>5612.0154468000001</v>
      </c>
      <c r="L50" s="532">
        <f>15775+51.234*77.8002</f>
        <v>19761.0154468</v>
      </c>
      <c r="M50" s="532">
        <v>206</v>
      </c>
      <c r="N50" s="532"/>
      <c r="O50" s="532">
        <v>611</v>
      </c>
      <c r="P50" s="532">
        <f t="shared" si="7"/>
        <v>817</v>
      </c>
      <c r="Q50" s="532">
        <v>184</v>
      </c>
      <c r="R50" s="532">
        <v>142</v>
      </c>
      <c r="S50" s="532">
        <v>268</v>
      </c>
      <c r="T50" s="532">
        <v>851</v>
      </c>
      <c r="U50" s="532">
        <v>279</v>
      </c>
      <c r="V50" s="814" t="s">
        <v>1209</v>
      </c>
      <c r="W50" s="813" t="s">
        <v>1209</v>
      </c>
      <c r="X50" s="764">
        <v>448</v>
      </c>
      <c r="Y50" s="764">
        <v>412</v>
      </c>
      <c r="Z50" s="530">
        <v>396</v>
      </c>
      <c r="AA50" s="530">
        <v>2217</v>
      </c>
      <c r="AB50" s="532">
        <v>1056</v>
      </c>
      <c r="AC50" s="530">
        <v>81</v>
      </c>
      <c r="AD50" s="532">
        <v>118</v>
      </c>
      <c r="AE50" s="530">
        <v>337</v>
      </c>
      <c r="AF50" s="530">
        <v>1216</v>
      </c>
      <c r="AG50" s="530">
        <v>1308</v>
      </c>
      <c r="AH50" s="530">
        <v>1027</v>
      </c>
      <c r="AI50" s="530">
        <v>2436</v>
      </c>
      <c r="AJ50" s="530">
        <v>329</v>
      </c>
      <c r="AK50" s="530">
        <v>2341</v>
      </c>
      <c r="AL50" s="530">
        <v>1628</v>
      </c>
      <c r="AM50" s="532">
        <f>4050+2354+1955</f>
        <v>8359</v>
      </c>
      <c r="AN50" s="532">
        <f t="shared" si="8"/>
        <v>25433</v>
      </c>
      <c r="AO50" s="532">
        <f t="shared" si="9"/>
        <v>26250</v>
      </c>
      <c r="AP50" s="524">
        <f t="shared" si="10"/>
        <v>-6488.9845531999999</v>
      </c>
      <c r="AQ50" s="814" t="s">
        <v>1209</v>
      </c>
    </row>
    <row r="51" spans="1:43" s="480" customFormat="1" ht="11.25" customHeight="1">
      <c r="A51" s="1300" t="s">
        <v>2620</v>
      </c>
      <c r="B51" s="1447">
        <f>SUM(B52:B63)</f>
        <v>1257</v>
      </c>
      <c r="C51" s="1447">
        <f t="shared" ref="C51:U51" si="13">SUM(C52:C63)</f>
        <v>5698</v>
      </c>
      <c r="D51" s="1447">
        <f t="shared" si="13"/>
        <v>15</v>
      </c>
      <c r="E51" s="1447">
        <f t="shared" si="13"/>
        <v>2135</v>
      </c>
      <c r="F51" s="1447">
        <f t="shared" si="13"/>
        <v>3999</v>
      </c>
      <c r="G51" s="1447">
        <f t="shared" si="13"/>
        <v>164271</v>
      </c>
      <c r="H51" s="1447">
        <f t="shared" si="13"/>
        <v>149</v>
      </c>
      <c r="I51" s="1447">
        <f t="shared" si="13"/>
        <v>0</v>
      </c>
      <c r="J51" s="1447">
        <f t="shared" si="13"/>
        <v>2</v>
      </c>
      <c r="K51" s="1447">
        <f t="shared" si="13"/>
        <v>60500.895545300002</v>
      </c>
      <c r="L51" s="1447">
        <f t="shared" si="13"/>
        <v>238026.89554530004</v>
      </c>
      <c r="M51" s="1447">
        <f t="shared" si="13"/>
        <v>930.69999999999993</v>
      </c>
      <c r="N51" s="1447"/>
      <c r="O51" s="1447">
        <f t="shared" si="13"/>
        <v>7161.2999999999993</v>
      </c>
      <c r="P51" s="1447">
        <f t="shared" si="13"/>
        <v>8092</v>
      </c>
      <c r="Q51" s="1447">
        <f t="shared" si="13"/>
        <v>1767</v>
      </c>
      <c r="R51" s="1447">
        <f t="shared" si="13"/>
        <v>1573.9</v>
      </c>
      <c r="S51" s="1447">
        <f t="shared" si="13"/>
        <v>4052.7999999999997</v>
      </c>
      <c r="T51" s="1447">
        <f t="shared" si="13"/>
        <v>10408.300000000001</v>
      </c>
      <c r="U51" s="1447">
        <f t="shared" si="13"/>
        <v>3595.3</v>
      </c>
      <c r="V51" s="1301" t="s">
        <v>2620</v>
      </c>
      <c r="W51" s="1300" t="s">
        <v>2620</v>
      </c>
      <c r="X51" s="1447">
        <f t="shared" ref="X51:AP51" si="14">SUM(X52:X63)</f>
        <v>5172.2</v>
      </c>
      <c r="Y51" s="1447">
        <f t="shared" si="14"/>
        <v>3465.6</v>
      </c>
      <c r="Z51" s="1447">
        <f t="shared" si="14"/>
        <v>2985.1000000000004</v>
      </c>
      <c r="AA51" s="1447">
        <f t="shared" si="14"/>
        <v>17827.600000000002</v>
      </c>
      <c r="AB51" s="1447">
        <f t="shared" si="14"/>
        <v>13212.199999999999</v>
      </c>
      <c r="AC51" s="1447">
        <f t="shared" si="14"/>
        <v>938.69999999999993</v>
      </c>
      <c r="AD51" s="1447">
        <f t="shared" si="14"/>
        <v>8169.4000000000005</v>
      </c>
      <c r="AE51" s="1447">
        <f t="shared" si="14"/>
        <v>4271.8999999999996</v>
      </c>
      <c r="AF51" s="1447">
        <f t="shared" si="14"/>
        <v>14230.7</v>
      </c>
      <c r="AG51" s="1447">
        <f t="shared" si="14"/>
        <v>16818.199999999997</v>
      </c>
      <c r="AH51" s="1447">
        <f t="shared" si="14"/>
        <v>12880.199999999999</v>
      </c>
      <c r="AI51" s="1447">
        <f t="shared" si="14"/>
        <v>32233.299999999996</v>
      </c>
      <c r="AJ51" s="1447">
        <f t="shared" si="14"/>
        <v>4711.3</v>
      </c>
      <c r="AK51" s="1447">
        <f t="shared" si="14"/>
        <v>21914.799999999999</v>
      </c>
      <c r="AL51" s="1447">
        <f t="shared" si="14"/>
        <v>23635.899999999998</v>
      </c>
      <c r="AM51" s="1447">
        <f t="shared" si="14"/>
        <v>101398.30000000002</v>
      </c>
      <c r="AN51" s="1447">
        <f t="shared" si="14"/>
        <v>305262.7</v>
      </c>
      <c r="AO51" s="1447">
        <f t="shared" si="14"/>
        <v>313354.7</v>
      </c>
      <c r="AP51" s="1447">
        <f t="shared" si="14"/>
        <v>-75327.804454700003</v>
      </c>
      <c r="AQ51" s="1301" t="s">
        <v>2620</v>
      </c>
    </row>
    <row r="52" spans="1:43" s="480" customFormat="1" ht="9.75" customHeight="1">
      <c r="A52" s="573" t="s">
        <v>1211</v>
      </c>
      <c r="B52" s="763">
        <v>111</v>
      </c>
      <c r="C52" s="763">
        <v>447</v>
      </c>
      <c r="D52" s="763">
        <v>3</v>
      </c>
      <c r="E52" s="763">
        <v>224</v>
      </c>
      <c r="F52" s="524">
        <f>32+235</f>
        <v>267</v>
      </c>
      <c r="G52" s="524">
        <v>12930</v>
      </c>
      <c r="H52" s="763">
        <v>0</v>
      </c>
      <c r="I52" s="763">
        <v>0</v>
      </c>
      <c r="J52" s="763">
        <v>0</v>
      </c>
      <c r="K52" s="763">
        <f t="shared" si="6"/>
        <v>4531.1464674000017</v>
      </c>
      <c r="L52" s="532">
        <f>15527+38.382*77.8007</f>
        <v>18513.146467400002</v>
      </c>
      <c r="M52" s="532">
        <v>109</v>
      </c>
      <c r="N52" s="532"/>
      <c r="O52" s="532">
        <v>256</v>
      </c>
      <c r="P52" s="532">
        <f t="shared" ref="P52:P70" si="15">M52+O52</f>
        <v>365</v>
      </c>
      <c r="Q52" s="532">
        <v>145</v>
      </c>
      <c r="R52" s="532">
        <v>154</v>
      </c>
      <c r="S52" s="532">
        <v>348</v>
      </c>
      <c r="T52" s="532">
        <v>617</v>
      </c>
      <c r="U52" s="532">
        <v>160</v>
      </c>
      <c r="V52" s="575" t="s">
        <v>1211</v>
      </c>
      <c r="W52" s="573" t="s">
        <v>1211</v>
      </c>
      <c r="X52" s="764">
        <v>229</v>
      </c>
      <c r="Y52" s="764">
        <v>234</v>
      </c>
      <c r="Z52" s="530">
        <v>398</v>
      </c>
      <c r="AA52" s="530">
        <v>1627</v>
      </c>
      <c r="AB52" s="532">
        <v>972</v>
      </c>
      <c r="AC52" s="530">
        <v>76</v>
      </c>
      <c r="AD52" s="532">
        <v>270</v>
      </c>
      <c r="AE52" s="530">
        <v>371</v>
      </c>
      <c r="AF52" s="530">
        <v>1010</v>
      </c>
      <c r="AG52" s="530">
        <v>1222</v>
      </c>
      <c r="AH52" s="530">
        <v>967</v>
      </c>
      <c r="AI52" s="530">
        <v>2372</v>
      </c>
      <c r="AJ52" s="530">
        <v>284</v>
      </c>
      <c r="AK52" s="530">
        <v>1431</v>
      </c>
      <c r="AL52" s="530">
        <v>1824</v>
      </c>
      <c r="AM52" s="532">
        <f>3564+2206+1741</f>
        <v>7511</v>
      </c>
      <c r="AN52" s="532">
        <f t="shared" si="8"/>
        <v>22222</v>
      </c>
      <c r="AO52" s="532">
        <f t="shared" ref="AO52:AO59" si="16">P52+AN52</f>
        <v>22587</v>
      </c>
      <c r="AP52" s="524">
        <f t="shared" ref="AP52:AP59" si="17">L52-AO52</f>
        <v>-4073.8535325999983</v>
      </c>
      <c r="AQ52" s="814" t="s">
        <v>1211</v>
      </c>
    </row>
    <row r="53" spans="1:43" s="480" customFormat="1" ht="10.5" customHeight="1">
      <c r="A53" s="909" t="s">
        <v>288</v>
      </c>
      <c r="B53" s="738">
        <v>129</v>
      </c>
      <c r="C53" s="738">
        <v>425</v>
      </c>
      <c r="D53" s="738">
        <v>1</v>
      </c>
      <c r="E53" s="738">
        <v>294</v>
      </c>
      <c r="F53" s="436">
        <f>25+251</f>
        <v>276</v>
      </c>
      <c r="G53" s="436">
        <v>15602</v>
      </c>
      <c r="H53" s="738">
        <v>0</v>
      </c>
      <c r="I53" s="738">
        <v>0</v>
      </c>
      <c r="J53" s="738">
        <v>0</v>
      </c>
      <c r="K53" s="738">
        <f t="shared" si="6"/>
        <v>5251.8858</v>
      </c>
      <c r="L53" s="739">
        <f>18372+46.361*77.8</f>
        <v>21978.8858</v>
      </c>
      <c r="M53" s="739">
        <v>87</v>
      </c>
      <c r="N53" s="739"/>
      <c r="O53" s="739">
        <v>672</v>
      </c>
      <c r="P53" s="739">
        <f t="shared" si="15"/>
        <v>759</v>
      </c>
      <c r="Q53" s="739">
        <v>145</v>
      </c>
      <c r="R53" s="739">
        <v>150</v>
      </c>
      <c r="S53" s="739">
        <v>215</v>
      </c>
      <c r="T53" s="739">
        <v>695</v>
      </c>
      <c r="U53" s="739">
        <v>134</v>
      </c>
      <c r="V53" s="740" t="s">
        <v>288</v>
      </c>
      <c r="W53" s="737" t="s">
        <v>1212</v>
      </c>
      <c r="X53" s="741">
        <v>367</v>
      </c>
      <c r="Y53" s="741">
        <v>238</v>
      </c>
      <c r="Z53" s="482">
        <v>307</v>
      </c>
      <c r="AA53" s="482">
        <v>1908</v>
      </c>
      <c r="AB53" s="739">
        <v>1052</v>
      </c>
      <c r="AC53" s="482">
        <v>66</v>
      </c>
      <c r="AD53" s="739">
        <v>705</v>
      </c>
      <c r="AE53" s="482">
        <v>349</v>
      </c>
      <c r="AF53" s="482">
        <v>1062</v>
      </c>
      <c r="AG53" s="482">
        <v>1179</v>
      </c>
      <c r="AH53" s="482">
        <v>1148</v>
      </c>
      <c r="AI53" s="482">
        <v>2649</v>
      </c>
      <c r="AJ53" s="482">
        <v>430</v>
      </c>
      <c r="AK53" s="482">
        <v>2143</v>
      </c>
      <c r="AL53" s="482">
        <v>1886</v>
      </c>
      <c r="AM53" s="739">
        <f>3403+2408+1917</f>
        <v>7728</v>
      </c>
      <c r="AN53" s="739">
        <f t="shared" si="8"/>
        <v>24556</v>
      </c>
      <c r="AO53" s="739">
        <f t="shared" si="16"/>
        <v>25315</v>
      </c>
      <c r="AP53" s="436">
        <f t="shared" si="17"/>
        <v>-3336.1142</v>
      </c>
      <c r="AQ53" s="740" t="s">
        <v>1212</v>
      </c>
    </row>
    <row r="54" spans="1:43" s="480" customFormat="1" ht="10.5" customHeight="1">
      <c r="A54" s="573" t="s">
        <v>1206</v>
      </c>
      <c r="B54" s="763">
        <v>133</v>
      </c>
      <c r="C54" s="763">
        <v>417</v>
      </c>
      <c r="D54" s="763">
        <v>0</v>
      </c>
      <c r="E54" s="763">
        <v>160</v>
      </c>
      <c r="F54" s="524">
        <f>32+265</f>
        <v>297</v>
      </c>
      <c r="G54" s="524">
        <v>12709</v>
      </c>
      <c r="H54" s="763">
        <v>0</v>
      </c>
      <c r="I54" s="763">
        <v>0</v>
      </c>
      <c r="J54" s="763">
        <v>0</v>
      </c>
      <c r="K54" s="763">
        <f t="shared" si="6"/>
        <v>4315.893060800001</v>
      </c>
      <c r="L54" s="532">
        <f>15089+37.826*77.8008</f>
        <v>18031.893060800001</v>
      </c>
      <c r="M54" s="532">
        <v>107</v>
      </c>
      <c r="N54" s="532"/>
      <c r="O54" s="532">
        <v>779</v>
      </c>
      <c r="P54" s="532">
        <f t="shared" si="15"/>
        <v>886</v>
      </c>
      <c r="Q54" s="532">
        <v>132</v>
      </c>
      <c r="R54" s="532">
        <v>184</v>
      </c>
      <c r="S54" s="532">
        <v>343</v>
      </c>
      <c r="T54" s="532">
        <v>1077</v>
      </c>
      <c r="U54" s="532">
        <v>331</v>
      </c>
      <c r="V54" s="814" t="s">
        <v>1206</v>
      </c>
      <c r="W54" s="813" t="s">
        <v>1206</v>
      </c>
      <c r="X54" s="764">
        <v>431</v>
      </c>
      <c r="Y54" s="764">
        <v>208</v>
      </c>
      <c r="Z54" s="530">
        <v>326</v>
      </c>
      <c r="AA54" s="530">
        <v>1425</v>
      </c>
      <c r="AB54" s="532">
        <v>1036</v>
      </c>
      <c r="AC54" s="530">
        <v>70</v>
      </c>
      <c r="AD54" s="532">
        <v>709</v>
      </c>
      <c r="AE54" s="530">
        <v>314</v>
      </c>
      <c r="AF54" s="530">
        <v>1200</v>
      </c>
      <c r="AG54" s="530">
        <v>1278</v>
      </c>
      <c r="AH54" s="530">
        <v>1036</v>
      </c>
      <c r="AI54" s="530">
        <v>2480</v>
      </c>
      <c r="AJ54" s="530">
        <v>348</v>
      </c>
      <c r="AK54" s="530">
        <v>1830</v>
      </c>
      <c r="AL54" s="530">
        <v>1335</v>
      </c>
      <c r="AM54" s="532">
        <f>3174+2289+1534</f>
        <v>6997</v>
      </c>
      <c r="AN54" s="532">
        <f t="shared" si="8"/>
        <v>23090</v>
      </c>
      <c r="AO54" s="532">
        <f t="shared" si="16"/>
        <v>23976</v>
      </c>
      <c r="AP54" s="524">
        <f t="shared" si="17"/>
        <v>-5944.106939199999</v>
      </c>
      <c r="AQ54" s="814" t="s">
        <v>1206</v>
      </c>
    </row>
    <row r="55" spans="1:43" s="480" customFormat="1" ht="9.75" customHeight="1">
      <c r="A55" s="909" t="s">
        <v>1213</v>
      </c>
      <c r="B55" s="738">
        <v>85</v>
      </c>
      <c r="C55" s="738">
        <v>555</v>
      </c>
      <c r="D55" s="738">
        <v>1</v>
      </c>
      <c r="E55" s="738">
        <v>144</v>
      </c>
      <c r="F55" s="436">
        <f>37+230</f>
        <v>267</v>
      </c>
      <c r="G55" s="436">
        <v>13905</v>
      </c>
      <c r="H55" s="738">
        <v>0</v>
      </c>
      <c r="I55" s="738">
        <v>0</v>
      </c>
      <c r="J55" s="738">
        <v>0</v>
      </c>
      <c r="K55" s="738">
        <f t="shared" si="6"/>
        <v>4679.0895295000009</v>
      </c>
      <c r="L55" s="739">
        <f>16530+39.913*77.8215</f>
        <v>19636.089529500001</v>
      </c>
      <c r="M55" s="739">
        <v>192</v>
      </c>
      <c r="N55" s="739"/>
      <c r="O55" s="739">
        <v>817</v>
      </c>
      <c r="P55" s="739">
        <f t="shared" si="15"/>
        <v>1009</v>
      </c>
      <c r="Q55" s="739">
        <v>96</v>
      </c>
      <c r="R55" s="739">
        <v>125</v>
      </c>
      <c r="S55" s="739">
        <v>707</v>
      </c>
      <c r="T55" s="739">
        <v>1219</v>
      </c>
      <c r="U55" s="739">
        <v>207</v>
      </c>
      <c r="V55" s="740" t="s">
        <v>1213</v>
      </c>
      <c r="W55" s="737" t="s">
        <v>1213</v>
      </c>
      <c r="X55" s="741">
        <v>556</v>
      </c>
      <c r="Y55" s="741">
        <v>257</v>
      </c>
      <c r="Z55" s="482">
        <v>279</v>
      </c>
      <c r="AA55" s="482">
        <v>1666</v>
      </c>
      <c r="AB55" s="739">
        <v>1028</v>
      </c>
      <c r="AC55" s="482">
        <v>88</v>
      </c>
      <c r="AD55" s="739">
        <v>1135</v>
      </c>
      <c r="AE55" s="482">
        <v>340</v>
      </c>
      <c r="AF55" s="482">
        <v>1031</v>
      </c>
      <c r="AG55" s="482">
        <v>1225</v>
      </c>
      <c r="AH55" s="482">
        <v>985</v>
      </c>
      <c r="AI55" s="482">
        <v>2392</v>
      </c>
      <c r="AJ55" s="482">
        <v>408</v>
      </c>
      <c r="AK55" s="482">
        <v>1863</v>
      </c>
      <c r="AL55" s="482">
        <v>1754</v>
      </c>
      <c r="AM55" s="739">
        <f>3445+2504+2315</f>
        <v>8264</v>
      </c>
      <c r="AN55" s="739">
        <f t="shared" si="8"/>
        <v>25625</v>
      </c>
      <c r="AO55" s="739">
        <f t="shared" si="16"/>
        <v>26634</v>
      </c>
      <c r="AP55" s="436">
        <f t="shared" si="17"/>
        <v>-6997.9104704999991</v>
      </c>
      <c r="AQ55" s="740" t="s">
        <v>1213</v>
      </c>
    </row>
    <row r="56" spans="1:43" s="480" customFormat="1" ht="9.75" customHeight="1">
      <c r="A56" s="573" t="s">
        <v>1214</v>
      </c>
      <c r="B56" s="763">
        <v>108</v>
      </c>
      <c r="C56" s="763">
        <v>486</v>
      </c>
      <c r="D56" s="763">
        <v>1</v>
      </c>
      <c r="E56" s="763">
        <v>128</v>
      </c>
      <c r="F56" s="524">
        <f>59+338</f>
        <v>397</v>
      </c>
      <c r="G56" s="524">
        <v>13110</v>
      </c>
      <c r="H56" s="763">
        <v>0</v>
      </c>
      <c r="I56" s="763">
        <v>0</v>
      </c>
      <c r="J56" s="763">
        <v>0</v>
      </c>
      <c r="K56" s="763">
        <f t="shared" si="6"/>
        <v>4983.3258397999998</v>
      </c>
      <c r="L56" s="532">
        <f>15756+44.027*78.5274</f>
        <v>19213.3258398</v>
      </c>
      <c r="M56" s="532">
        <v>161</v>
      </c>
      <c r="N56" s="532"/>
      <c r="O56" s="532">
        <v>663</v>
      </c>
      <c r="P56" s="532">
        <f t="shared" si="15"/>
        <v>824</v>
      </c>
      <c r="Q56" s="532">
        <v>200</v>
      </c>
      <c r="R56" s="532">
        <v>112</v>
      </c>
      <c r="S56" s="532">
        <v>106</v>
      </c>
      <c r="T56" s="532">
        <v>843</v>
      </c>
      <c r="U56" s="532">
        <v>201</v>
      </c>
      <c r="V56" s="814" t="s">
        <v>1214</v>
      </c>
      <c r="W56" s="813" t="s">
        <v>1214</v>
      </c>
      <c r="X56" s="764">
        <v>471</v>
      </c>
      <c r="Y56" s="764">
        <v>299</v>
      </c>
      <c r="Z56" s="530">
        <v>0</v>
      </c>
      <c r="AA56" s="530">
        <v>2156</v>
      </c>
      <c r="AB56" s="532">
        <v>1117</v>
      </c>
      <c r="AC56" s="530">
        <v>113</v>
      </c>
      <c r="AD56" s="532">
        <v>828</v>
      </c>
      <c r="AE56" s="530">
        <v>359</v>
      </c>
      <c r="AF56" s="530">
        <v>1435</v>
      </c>
      <c r="AG56" s="530">
        <v>1144</v>
      </c>
      <c r="AH56" s="530">
        <v>1099</v>
      </c>
      <c r="AI56" s="530">
        <v>2495</v>
      </c>
      <c r="AJ56" s="530">
        <v>379</v>
      </c>
      <c r="AK56" s="530">
        <v>2026</v>
      </c>
      <c r="AL56" s="530">
        <v>1771</v>
      </c>
      <c r="AM56" s="532">
        <f>3857+2716+2148</f>
        <v>8721</v>
      </c>
      <c r="AN56" s="532">
        <f t="shared" si="8"/>
        <v>25875</v>
      </c>
      <c r="AO56" s="532">
        <f t="shared" si="16"/>
        <v>26699</v>
      </c>
      <c r="AP56" s="524">
        <f t="shared" si="17"/>
        <v>-7485.6741602000002</v>
      </c>
      <c r="AQ56" s="814" t="s">
        <v>1214</v>
      </c>
    </row>
    <row r="57" spans="1:43" s="480" customFormat="1" ht="10.5" customHeight="1">
      <c r="A57" s="909" t="s">
        <v>1207</v>
      </c>
      <c r="B57" s="738">
        <v>48</v>
      </c>
      <c r="C57" s="738">
        <v>511</v>
      </c>
      <c r="D57" s="738">
        <v>1</v>
      </c>
      <c r="E57" s="738">
        <v>200</v>
      </c>
      <c r="F57" s="436">
        <f>72+275</f>
        <v>347</v>
      </c>
      <c r="G57" s="436">
        <v>12929</v>
      </c>
      <c r="H57" s="738">
        <v>0</v>
      </c>
      <c r="I57" s="738">
        <v>0</v>
      </c>
      <c r="J57" s="738">
        <v>0</v>
      </c>
      <c r="K57" s="738">
        <f t="shared" ref="K57:K70" si="18">L57-SUM(B57:J57)</f>
        <v>5971.8867605999985</v>
      </c>
      <c r="L57" s="739">
        <f>15746+54.099*78.7794</f>
        <v>20007.886760599999</v>
      </c>
      <c r="M57" s="739">
        <v>76.099999999999994</v>
      </c>
      <c r="N57" s="739"/>
      <c r="O57" s="739">
        <v>438.7</v>
      </c>
      <c r="P57" s="739">
        <f t="shared" si="15"/>
        <v>514.79999999999995</v>
      </c>
      <c r="Q57" s="739">
        <v>180.5</v>
      </c>
      <c r="R57" s="739">
        <v>126.6</v>
      </c>
      <c r="S57" s="739">
        <v>373.6</v>
      </c>
      <c r="T57" s="739">
        <v>482.8</v>
      </c>
      <c r="U57" s="739">
        <v>300.2</v>
      </c>
      <c r="V57" s="740" t="s">
        <v>1207</v>
      </c>
      <c r="W57" s="737" t="s">
        <v>1207</v>
      </c>
      <c r="X57" s="1396">
        <v>634.4</v>
      </c>
      <c r="Y57" s="1396">
        <v>304.60000000000002</v>
      </c>
      <c r="Z57" s="739">
        <v>262.39999999999998</v>
      </c>
      <c r="AA57" s="739">
        <v>1848.7</v>
      </c>
      <c r="AB57" s="739">
        <v>1256.7</v>
      </c>
      <c r="AC57" s="739">
        <v>89.9</v>
      </c>
      <c r="AD57" s="739">
        <v>861.2</v>
      </c>
      <c r="AE57" s="739">
        <v>381.9</v>
      </c>
      <c r="AF57" s="739">
        <v>1340.5</v>
      </c>
      <c r="AG57" s="739">
        <v>1638.3</v>
      </c>
      <c r="AH57" s="739">
        <v>1069.4000000000001</v>
      </c>
      <c r="AI57" s="739">
        <v>3187.2</v>
      </c>
      <c r="AJ57" s="739">
        <v>396.9</v>
      </c>
      <c r="AK57" s="739">
        <v>1720.1</v>
      </c>
      <c r="AL57" s="739">
        <v>2056.4</v>
      </c>
      <c r="AM57" s="739">
        <f>2179+2967.9+4592.5</f>
        <v>9739.4</v>
      </c>
      <c r="AN57" s="739">
        <f t="shared" ref="AN57:AN62" si="19">SUM(Q57:U57)+SUM(X57:AM57)</f>
        <v>28251.7</v>
      </c>
      <c r="AO57" s="739">
        <f t="shared" si="16"/>
        <v>28766.5</v>
      </c>
      <c r="AP57" s="436">
        <f t="shared" si="17"/>
        <v>-8758.6132394000015</v>
      </c>
      <c r="AQ57" s="740" t="s">
        <v>1207</v>
      </c>
    </row>
    <row r="58" spans="1:43" s="480" customFormat="1" ht="10.5" customHeight="1">
      <c r="A58" s="573" t="s">
        <v>1215</v>
      </c>
      <c r="B58" s="763">
        <v>16</v>
      </c>
      <c r="C58" s="763">
        <v>459</v>
      </c>
      <c r="D58" s="763">
        <v>1</v>
      </c>
      <c r="E58" s="763">
        <v>173</v>
      </c>
      <c r="F58" s="524">
        <f>61+261</f>
        <v>322</v>
      </c>
      <c r="G58" s="524">
        <v>14442</v>
      </c>
      <c r="H58" s="763">
        <v>0</v>
      </c>
      <c r="I58" s="763">
        <v>0</v>
      </c>
      <c r="J58" s="763">
        <v>0</v>
      </c>
      <c r="K58" s="763">
        <f t="shared" si="18"/>
        <v>5186.8094203000001</v>
      </c>
      <c r="L58" s="532">
        <f>16908+47.029*78.5007</f>
        <v>20599.8094203</v>
      </c>
      <c r="M58" s="532">
        <v>49</v>
      </c>
      <c r="N58" s="532"/>
      <c r="O58" s="532">
        <v>934</v>
      </c>
      <c r="P58" s="532">
        <f t="shared" si="15"/>
        <v>983</v>
      </c>
      <c r="Q58" s="532">
        <v>139.19999999999999</v>
      </c>
      <c r="R58" s="532">
        <v>94.4</v>
      </c>
      <c r="S58" s="532">
        <v>325.60000000000002</v>
      </c>
      <c r="T58" s="532">
        <v>777.7</v>
      </c>
      <c r="U58" s="532">
        <v>287.39999999999998</v>
      </c>
      <c r="V58" s="814" t="s">
        <v>1215</v>
      </c>
      <c r="W58" s="813" t="s">
        <v>1215</v>
      </c>
      <c r="X58" s="1403">
        <v>514.20000000000005</v>
      </c>
      <c r="Y58" s="1403">
        <v>209.5</v>
      </c>
      <c r="Z58" s="532">
        <v>0</v>
      </c>
      <c r="AA58" s="532">
        <v>1117.8</v>
      </c>
      <c r="AB58" s="532">
        <v>1173.0999999999999</v>
      </c>
      <c r="AC58" s="532">
        <v>43.5</v>
      </c>
      <c r="AD58" s="532">
        <v>1555.8</v>
      </c>
      <c r="AE58" s="532">
        <v>349.2</v>
      </c>
      <c r="AF58" s="532">
        <v>1130.5</v>
      </c>
      <c r="AG58" s="532">
        <v>1351.6</v>
      </c>
      <c r="AH58" s="532">
        <v>1086.4000000000001</v>
      </c>
      <c r="AI58" s="532">
        <v>2962.6</v>
      </c>
      <c r="AJ58" s="532">
        <v>463</v>
      </c>
      <c r="AK58" s="532">
        <v>1603.5</v>
      </c>
      <c r="AL58" s="532">
        <v>2033.5</v>
      </c>
      <c r="AM58" s="532">
        <f>4057.7+2609.7+2115.6</f>
        <v>8783</v>
      </c>
      <c r="AN58" s="532">
        <f t="shared" si="19"/>
        <v>26001.499999999996</v>
      </c>
      <c r="AO58" s="532">
        <f t="shared" si="16"/>
        <v>26984.499999999996</v>
      </c>
      <c r="AP58" s="524">
        <f t="shared" si="17"/>
        <v>-6384.6905796999963</v>
      </c>
      <c r="AQ58" s="814" t="s">
        <v>1215</v>
      </c>
    </row>
    <row r="59" spans="1:43" s="480" customFormat="1" ht="10.5" customHeight="1">
      <c r="A59" s="909" t="s">
        <v>1216</v>
      </c>
      <c r="B59" s="738">
        <v>68</v>
      </c>
      <c r="C59" s="738">
        <v>426</v>
      </c>
      <c r="D59" s="738">
        <v>2</v>
      </c>
      <c r="E59" s="738">
        <v>140</v>
      </c>
      <c r="F59" s="436">
        <f>56+248</f>
        <v>304</v>
      </c>
      <c r="G59" s="436">
        <v>13519</v>
      </c>
      <c r="H59" s="738">
        <v>0</v>
      </c>
      <c r="I59" s="738">
        <v>0</v>
      </c>
      <c r="J59" s="738">
        <v>0</v>
      </c>
      <c r="K59" s="738">
        <f t="shared" si="18"/>
        <v>4845.650072299999</v>
      </c>
      <c r="L59" s="739">
        <f>15949+42.719*78.5517</f>
        <v>19304.650072299999</v>
      </c>
      <c r="M59" s="739">
        <v>38.700000000000003</v>
      </c>
      <c r="N59" s="739"/>
      <c r="O59" s="739">
        <v>429</v>
      </c>
      <c r="P59" s="739">
        <f t="shared" si="15"/>
        <v>467.7</v>
      </c>
      <c r="Q59" s="739">
        <v>127.8</v>
      </c>
      <c r="R59" s="739">
        <v>108.9</v>
      </c>
      <c r="S59" s="739">
        <v>195.1</v>
      </c>
      <c r="T59" s="739">
        <v>889.1</v>
      </c>
      <c r="U59" s="739">
        <v>223.7</v>
      </c>
      <c r="V59" s="740" t="s">
        <v>1216</v>
      </c>
      <c r="W59" s="737" t="s">
        <v>1216</v>
      </c>
      <c r="X59" s="1396">
        <v>324.60000000000002</v>
      </c>
      <c r="Y59" s="1396">
        <v>344.1</v>
      </c>
      <c r="Z59" s="739">
        <v>211.4</v>
      </c>
      <c r="AA59" s="739">
        <v>787.5</v>
      </c>
      <c r="AB59" s="739">
        <v>948.1</v>
      </c>
      <c r="AC59" s="739">
        <v>79.5</v>
      </c>
      <c r="AD59" s="739">
        <v>951.2</v>
      </c>
      <c r="AE59" s="739">
        <v>331.5</v>
      </c>
      <c r="AF59" s="739">
        <v>1136.5999999999999</v>
      </c>
      <c r="AG59" s="739">
        <v>1345.9</v>
      </c>
      <c r="AH59" s="739">
        <v>1071.3</v>
      </c>
      <c r="AI59" s="739">
        <v>2695.6</v>
      </c>
      <c r="AJ59" s="739">
        <v>394.1</v>
      </c>
      <c r="AK59" s="739">
        <v>1840.4</v>
      </c>
      <c r="AL59" s="739">
        <v>1879</v>
      </c>
      <c r="AM59" s="739">
        <f>3444.2+2416.8+1902.5</f>
        <v>7763.5</v>
      </c>
      <c r="AN59" s="739">
        <f t="shared" si="19"/>
        <v>23648.899999999998</v>
      </c>
      <c r="AO59" s="739">
        <f t="shared" si="16"/>
        <v>24116.6</v>
      </c>
      <c r="AP59" s="436">
        <f t="shared" si="17"/>
        <v>-4811.9499276999995</v>
      </c>
      <c r="AQ59" s="740" t="s">
        <v>1216</v>
      </c>
    </row>
    <row r="60" spans="1:43" s="480" customFormat="1" ht="9.75" customHeight="1">
      <c r="A60" s="573" t="s">
        <v>917</v>
      </c>
      <c r="B60" s="763">
        <v>74</v>
      </c>
      <c r="C60" s="763">
        <v>485</v>
      </c>
      <c r="D60" s="763">
        <v>1</v>
      </c>
      <c r="E60" s="763">
        <v>166</v>
      </c>
      <c r="F60" s="524">
        <f>240+55</f>
        <v>295</v>
      </c>
      <c r="G60" s="524">
        <v>14553</v>
      </c>
      <c r="H60" s="763">
        <v>44</v>
      </c>
      <c r="I60" s="763">
        <v>0</v>
      </c>
      <c r="J60" s="763">
        <v>0</v>
      </c>
      <c r="K60" s="763">
        <f t="shared" si="18"/>
        <v>5409.2565945999995</v>
      </c>
      <c r="L60" s="532">
        <f>17289+47.674*78.4129</f>
        <v>21027.2565946</v>
      </c>
      <c r="M60" s="532">
        <v>30.8</v>
      </c>
      <c r="N60" s="532"/>
      <c r="O60" s="532">
        <v>267.89999999999998</v>
      </c>
      <c r="P60" s="532">
        <f t="shared" si="15"/>
        <v>298.7</v>
      </c>
      <c r="Q60" s="532">
        <v>128.4</v>
      </c>
      <c r="R60" s="532">
        <v>96.9</v>
      </c>
      <c r="S60" s="532">
        <v>101</v>
      </c>
      <c r="T60" s="532">
        <v>991.4</v>
      </c>
      <c r="U60" s="532">
        <v>196.3</v>
      </c>
      <c r="V60" s="814" t="s">
        <v>917</v>
      </c>
      <c r="W60" s="813" t="s">
        <v>1208</v>
      </c>
      <c r="X60" s="1403">
        <v>850.4</v>
      </c>
      <c r="Y60" s="1403">
        <v>318.10000000000002</v>
      </c>
      <c r="Z60" s="532">
        <v>168.5</v>
      </c>
      <c r="AA60" s="532">
        <v>1297.7</v>
      </c>
      <c r="AB60" s="532">
        <v>1207.9000000000001</v>
      </c>
      <c r="AC60" s="532">
        <v>88.7</v>
      </c>
      <c r="AD60" s="532">
        <v>434.3</v>
      </c>
      <c r="AE60" s="532">
        <v>375.5</v>
      </c>
      <c r="AF60" s="532">
        <v>1242.5</v>
      </c>
      <c r="AG60" s="532">
        <v>1894.9</v>
      </c>
      <c r="AH60" s="532">
        <v>1093.4000000000001</v>
      </c>
      <c r="AI60" s="532">
        <v>2787</v>
      </c>
      <c r="AJ60" s="532">
        <v>452.7</v>
      </c>
      <c r="AK60" s="532">
        <v>1841.3</v>
      </c>
      <c r="AL60" s="532">
        <v>2274.9</v>
      </c>
      <c r="AM60" s="532">
        <f>3597.8+2996.1+1994.8</f>
        <v>8588.6999999999989</v>
      </c>
      <c r="AN60" s="532">
        <f t="shared" si="19"/>
        <v>26430.5</v>
      </c>
      <c r="AO60" s="532">
        <f>P60+AN60</f>
        <v>26729.200000000001</v>
      </c>
      <c r="AP60" s="524">
        <f>L60-AO60</f>
        <v>-5701.9434054000012</v>
      </c>
      <c r="AQ60" s="814" t="s">
        <v>1208</v>
      </c>
    </row>
    <row r="61" spans="1:43" s="480" customFormat="1" ht="10.5" customHeight="1">
      <c r="A61" s="909" t="s">
        <v>1217</v>
      </c>
      <c r="B61" s="738">
        <v>77</v>
      </c>
      <c r="C61" s="738">
        <v>483</v>
      </c>
      <c r="D61" s="738">
        <v>2</v>
      </c>
      <c r="E61" s="738">
        <v>148</v>
      </c>
      <c r="F61" s="436">
        <f>35+199</f>
        <v>234</v>
      </c>
      <c r="G61" s="436">
        <v>13330</v>
      </c>
      <c r="H61" s="738">
        <v>5</v>
      </c>
      <c r="I61" s="738">
        <v>0</v>
      </c>
      <c r="J61" s="738">
        <v>0</v>
      </c>
      <c r="K61" s="738">
        <f t="shared" si="18"/>
        <v>4468.9903999999988</v>
      </c>
      <c r="L61" s="739">
        <f>15686+39.056*78.4</f>
        <v>18747.990399999999</v>
      </c>
      <c r="M61" s="739">
        <v>21.3</v>
      </c>
      <c r="N61" s="739"/>
      <c r="O61" s="739">
        <v>517.70000000000005</v>
      </c>
      <c r="P61" s="739">
        <f t="shared" si="15"/>
        <v>539</v>
      </c>
      <c r="Q61" s="739">
        <v>130.69999999999999</v>
      </c>
      <c r="R61" s="739">
        <v>110.1</v>
      </c>
      <c r="S61" s="739">
        <v>573.1</v>
      </c>
      <c r="T61" s="739">
        <v>818.6</v>
      </c>
      <c r="U61" s="739">
        <v>539.70000000000005</v>
      </c>
      <c r="V61" s="740" t="s">
        <v>1217</v>
      </c>
      <c r="W61" s="737" t="s">
        <v>1217</v>
      </c>
      <c r="X61" s="1396">
        <v>63.2</v>
      </c>
      <c r="Y61" s="1396">
        <v>285.39999999999998</v>
      </c>
      <c r="Z61" s="739">
        <v>318.89999999999998</v>
      </c>
      <c r="AA61" s="739">
        <v>1370</v>
      </c>
      <c r="AB61" s="739">
        <v>1050.5999999999999</v>
      </c>
      <c r="AC61" s="739">
        <v>71.400000000000006</v>
      </c>
      <c r="AD61" s="739">
        <v>286.3</v>
      </c>
      <c r="AE61" s="739">
        <v>352.2</v>
      </c>
      <c r="AF61" s="739">
        <v>1120.5</v>
      </c>
      <c r="AG61" s="739">
        <v>1309.4000000000001</v>
      </c>
      <c r="AH61" s="739">
        <v>967.4</v>
      </c>
      <c r="AI61" s="739">
        <v>2865.6</v>
      </c>
      <c r="AJ61" s="739">
        <v>363.6</v>
      </c>
      <c r="AK61" s="739">
        <v>1478.7</v>
      </c>
      <c r="AL61" s="739">
        <v>2311.6</v>
      </c>
      <c r="AM61" s="739">
        <f>3636.3+2655.1+2195.2</f>
        <v>8486.5999999999985</v>
      </c>
      <c r="AN61" s="739">
        <f t="shared" si="19"/>
        <v>24873.600000000002</v>
      </c>
      <c r="AO61" s="739">
        <f>P61+AN61</f>
        <v>25412.600000000002</v>
      </c>
      <c r="AP61" s="436">
        <f>L61-AO61</f>
        <v>-6664.6096000000034</v>
      </c>
      <c r="AQ61" s="740" t="s">
        <v>1217</v>
      </c>
    </row>
    <row r="62" spans="1:43" s="480" customFormat="1" ht="11.25" customHeight="1">
      <c r="A62" s="573" t="s">
        <v>1218</v>
      </c>
      <c r="B62" s="763">
        <v>158</v>
      </c>
      <c r="C62" s="763">
        <v>535</v>
      </c>
      <c r="D62" s="763">
        <v>1</v>
      </c>
      <c r="E62" s="763">
        <v>187</v>
      </c>
      <c r="F62" s="524">
        <f>492+205</f>
        <v>697</v>
      </c>
      <c r="G62" s="524">
        <v>13596</v>
      </c>
      <c r="H62" s="763">
        <v>42</v>
      </c>
      <c r="I62" s="763">
        <v>0</v>
      </c>
      <c r="J62" s="763">
        <v>2</v>
      </c>
      <c r="K62" s="763">
        <f t="shared" si="18"/>
        <v>4557.3824000000022</v>
      </c>
      <c r="L62" s="532">
        <f>16174+45.936*78.4</f>
        <v>19775.382400000002</v>
      </c>
      <c r="M62" s="532">
        <v>30.4</v>
      </c>
      <c r="N62" s="532"/>
      <c r="O62" s="532">
        <v>630.6</v>
      </c>
      <c r="P62" s="532">
        <f t="shared" si="15"/>
        <v>661</v>
      </c>
      <c r="Q62" s="532">
        <v>187.1</v>
      </c>
      <c r="R62" s="532">
        <v>148.80000000000001</v>
      </c>
      <c r="S62" s="532">
        <v>446.5</v>
      </c>
      <c r="T62" s="532">
        <v>1076.0999999999999</v>
      </c>
      <c r="U62" s="532">
        <v>614.79999999999995</v>
      </c>
      <c r="V62" s="814" t="s">
        <v>1218</v>
      </c>
      <c r="W62" s="813" t="s">
        <v>1218</v>
      </c>
      <c r="X62" s="1403">
        <v>546.9</v>
      </c>
      <c r="Y62" s="1403">
        <v>437.9</v>
      </c>
      <c r="Z62" s="532">
        <v>223.9</v>
      </c>
      <c r="AA62" s="532">
        <v>1278.2</v>
      </c>
      <c r="AB62" s="532">
        <v>1239.3</v>
      </c>
      <c r="AC62" s="532">
        <v>79.900000000000006</v>
      </c>
      <c r="AD62" s="532">
        <v>220.5</v>
      </c>
      <c r="AE62" s="532">
        <v>364.5</v>
      </c>
      <c r="AF62" s="532">
        <v>1321.6</v>
      </c>
      <c r="AG62" s="532">
        <v>1610.4</v>
      </c>
      <c r="AH62" s="532">
        <v>1260.2</v>
      </c>
      <c r="AI62" s="532">
        <v>2777.7</v>
      </c>
      <c r="AJ62" s="532">
        <v>425.4</v>
      </c>
      <c r="AK62" s="532">
        <v>2081.6999999999998</v>
      </c>
      <c r="AL62" s="532">
        <v>2266</v>
      </c>
      <c r="AM62" s="532">
        <f>4347.6+2875.5+2218.7</f>
        <v>9441.7999999999993</v>
      </c>
      <c r="AN62" s="532">
        <f t="shared" si="19"/>
        <v>28049.199999999997</v>
      </c>
      <c r="AO62" s="532">
        <f>P62+AN62</f>
        <v>28710.199999999997</v>
      </c>
      <c r="AP62" s="524">
        <f>L62-AO62</f>
        <v>-8934.8175999999949</v>
      </c>
      <c r="AQ62" s="814" t="s">
        <v>1218</v>
      </c>
    </row>
    <row r="63" spans="1:43" s="480" customFormat="1" ht="11.25" customHeight="1">
      <c r="A63" s="909" t="s">
        <v>1209</v>
      </c>
      <c r="B63" s="738">
        <v>250</v>
      </c>
      <c r="C63" s="738">
        <v>469</v>
      </c>
      <c r="D63" s="738">
        <v>1</v>
      </c>
      <c r="E63" s="738">
        <v>171</v>
      </c>
      <c r="F63" s="436">
        <f>43+253</f>
        <v>296</v>
      </c>
      <c r="G63" s="436">
        <v>13646</v>
      </c>
      <c r="H63" s="738">
        <v>58</v>
      </c>
      <c r="I63" s="738">
        <v>0</v>
      </c>
      <c r="J63" s="738">
        <v>0</v>
      </c>
      <c r="K63" s="738">
        <f t="shared" si="18"/>
        <v>6299.5792000000001</v>
      </c>
      <c r="L63" s="739">
        <f>16415+60.913*78.4</f>
        <v>21190.5792</v>
      </c>
      <c r="M63" s="739">
        <v>28.4</v>
      </c>
      <c r="N63" s="739"/>
      <c r="O63" s="739">
        <v>756.4</v>
      </c>
      <c r="P63" s="739">
        <f t="shared" si="15"/>
        <v>784.8</v>
      </c>
      <c r="Q63" s="739">
        <v>155.30000000000001</v>
      </c>
      <c r="R63" s="739">
        <v>163.19999999999999</v>
      </c>
      <c r="S63" s="739">
        <v>318.89999999999998</v>
      </c>
      <c r="T63" s="739">
        <v>921.6</v>
      </c>
      <c r="U63" s="739">
        <v>400.2</v>
      </c>
      <c r="V63" s="740" t="s">
        <v>1209</v>
      </c>
      <c r="W63" s="737" t="s">
        <v>1209</v>
      </c>
      <c r="X63" s="1396">
        <v>184.5</v>
      </c>
      <c r="Y63" s="1396">
        <v>330</v>
      </c>
      <c r="Z63" s="739">
        <v>490</v>
      </c>
      <c r="AA63" s="739">
        <v>1345.7</v>
      </c>
      <c r="AB63" s="739">
        <v>1131.5</v>
      </c>
      <c r="AC63" s="739">
        <v>72.8</v>
      </c>
      <c r="AD63" s="739">
        <v>213.1</v>
      </c>
      <c r="AE63" s="739">
        <v>384.1</v>
      </c>
      <c r="AF63" s="739">
        <v>1200.5</v>
      </c>
      <c r="AG63" s="739">
        <v>1619.7</v>
      </c>
      <c r="AH63" s="739">
        <v>1097.0999999999999</v>
      </c>
      <c r="AI63" s="739">
        <v>2569.6</v>
      </c>
      <c r="AJ63" s="739">
        <v>366.6</v>
      </c>
      <c r="AK63" s="739">
        <v>2056.1</v>
      </c>
      <c r="AL63" s="739">
        <v>2244.5</v>
      </c>
      <c r="AM63" s="739">
        <f>4458.5+2762.9+2152.9</f>
        <v>9374.2999999999993</v>
      </c>
      <c r="AN63" s="739">
        <f>SUM(Q63:U63)+SUM(X63:AM63)</f>
        <v>26639.3</v>
      </c>
      <c r="AO63" s="739">
        <f>P63+AN63</f>
        <v>27424.1</v>
      </c>
      <c r="AP63" s="436">
        <f>L63-AO63</f>
        <v>-6233.5207999999984</v>
      </c>
      <c r="AQ63" s="740" t="s">
        <v>1209</v>
      </c>
    </row>
    <row r="64" spans="1:43" s="480" customFormat="1" ht="12" customHeight="1">
      <c r="A64" s="1461" t="s">
        <v>2843</v>
      </c>
      <c r="B64" s="763"/>
      <c r="C64" s="763"/>
      <c r="D64" s="763"/>
      <c r="E64" s="763"/>
      <c r="F64" s="524"/>
      <c r="G64" s="524"/>
      <c r="H64" s="763"/>
      <c r="I64" s="763"/>
      <c r="J64" s="763"/>
      <c r="K64" s="763"/>
      <c r="L64" s="532"/>
      <c r="M64" s="532"/>
      <c r="N64" s="532"/>
      <c r="O64" s="532"/>
      <c r="P64" s="532"/>
      <c r="Q64" s="532"/>
      <c r="R64" s="532"/>
      <c r="S64" s="532"/>
      <c r="T64" s="532"/>
      <c r="U64" s="532"/>
      <c r="V64" s="1462" t="s">
        <v>2843</v>
      </c>
      <c r="W64" s="1461" t="s">
        <v>2843</v>
      </c>
      <c r="X64" s="1403"/>
      <c r="Y64" s="1403"/>
      <c r="Z64" s="532"/>
      <c r="AA64" s="532"/>
      <c r="AB64" s="532"/>
      <c r="AC64" s="532"/>
      <c r="AD64" s="532"/>
      <c r="AE64" s="532"/>
      <c r="AF64" s="532"/>
      <c r="AG64" s="532"/>
      <c r="AH64" s="532"/>
      <c r="AI64" s="532"/>
      <c r="AJ64" s="532"/>
      <c r="AK64" s="532"/>
      <c r="AL64" s="532"/>
      <c r="AM64" s="532"/>
      <c r="AN64" s="532"/>
      <c r="AO64" s="532"/>
      <c r="AP64" s="524"/>
      <c r="AQ64" s="1462" t="s">
        <v>2843</v>
      </c>
    </row>
    <row r="65" spans="1:43" s="480" customFormat="1" ht="13.5" customHeight="1">
      <c r="A65" s="909" t="s">
        <v>1211</v>
      </c>
      <c r="B65" s="738">
        <v>158</v>
      </c>
      <c r="C65" s="738">
        <v>471</v>
      </c>
      <c r="D65" s="738">
        <v>1</v>
      </c>
      <c r="E65" s="738">
        <v>108</v>
      </c>
      <c r="F65" s="436">
        <v>274</v>
      </c>
      <c r="G65" s="436">
        <v>13230</v>
      </c>
      <c r="H65" s="738">
        <v>0</v>
      </c>
      <c r="I65" s="738">
        <v>0</v>
      </c>
      <c r="J65" s="738">
        <v>0</v>
      </c>
      <c r="K65" s="738">
        <f t="shared" si="18"/>
        <v>3998.4079999999994</v>
      </c>
      <c r="L65" s="739">
        <f>15585+33.87*78.4</f>
        <v>18240.407999999999</v>
      </c>
      <c r="M65" s="739">
        <v>17.7</v>
      </c>
      <c r="N65" s="739"/>
      <c r="O65" s="739">
        <v>454.6</v>
      </c>
      <c r="P65" s="739">
        <f t="shared" si="15"/>
        <v>472.3</v>
      </c>
      <c r="Q65" s="739">
        <v>143.9</v>
      </c>
      <c r="R65" s="739">
        <v>129</v>
      </c>
      <c r="S65" s="739">
        <v>347.3</v>
      </c>
      <c r="T65" s="739">
        <v>630.29999999999995</v>
      </c>
      <c r="U65" s="739">
        <v>210.8</v>
      </c>
      <c r="V65" s="910" t="s">
        <v>1211</v>
      </c>
      <c r="W65" s="909" t="s">
        <v>1211</v>
      </c>
      <c r="X65" s="1396">
        <v>566.29999999999995</v>
      </c>
      <c r="Y65" s="1396">
        <v>228.4</v>
      </c>
      <c r="Z65" s="739">
        <v>305.2</v>
      </c>
      <c r="AA65" s="739">
        <v>1331.8</v>
      </c>
      <c r="AB65" s="739">
        <v>1130.7</v>
      </c>
      <c r="AC65" s="739">
        <v>64.900000000000006</v>
      </c>
      <c r="AD65" s="739">
        <v>417.9</v>
      </c>
      <c r="AE65" s="739">
        <v>394.6</v>
      </c>
      <c r="AF65" s="739">
        <v>1008.3</v>
      </c>
      <c r="AG65" s="739">
        <v>1077.0999999999999</v>
      </c>
      <c r="AH65" s="739">
        <v>1120.2</v>
      </c>
      <c r="AI65" s="739">
        <v>2608.4</v>
      </c>
      <c r="AJ65" s="739">
        <v>382.7</v>
      </c>
      <c r="AK65" s="739">
        <v>1569.8</v>
      </c>
      <c r="AL65" s="739">
        <v>2718.5</v>
      </c>
      <c r="AM65" s="739">
        <f>3127.9+2088.6+1539.8</f>
        <v>6756.3</v>
      </c>
      <c r="AN65" s="739">
        <f t="shared" ref="AN65:AN70" si="20">SUM(Q65:U65)+SUM(X65:AM65)</f>
        <v>23142.400000000001</v>
      </c>
      <c r="AO65" s="739">
        <f t="shared" ref="AO65:AO70" si="21">P65+AN65</f>
        <v>23614.7</v>
      </c>
      <c r="AP65" s="436">
        <f t="shared" ref="AP65:AP70" si="22">L65-AO65</f>
        <v>-5374.2920000000013</v>
      </c>
      <c r="AQ65" s="910" t="s">
        <v>1211</v>
      </c>
    </row>
    <row r="66" spans="1:43" s="480" customFormat="1" ht="13.5" customHeight="1">
      <c r="A66" s="573" t="s">
        <v>288</v>
      </c>
      <c r="B66" s="763">
        <v>143</v>
      </c>
      <c r="C66" s="763">
        <v>455</v>
      </c>
      <c r="D66" s="763">
        <v>1</v>
      </c>
      <c r="E66" s="763">
        <v>97</v>
      </c>
      <c r="F66" s="524">
        <v>340</v>
      </c>
      <c r="G66" s="524">
        <v>15147</v>
      </c>
      <c r="H66" s="763">
        <v>0</v>
      </c>
      <c r="I66" s="763">
        <v>0</v>
      </c>
      <c r="J66" s="763">
        <v>44</v>
      </c>
      <c r="K66" s="763">
        <f t="shared" si="18"/>
        <v>5610.9392000000007</v>
      </c>
      <c r="L66" s="532">
        <f>17864+78.4*50.688</f>
        <v>21837.939200000001</v>
      </c>
      <c r="M66" s="532">
        <v>10.1</v>
      </c>
      <c r="N66" s="532"/>
      <c r="O66" s="532">
        <v>509.3</v>
      </c>
      <c r="P66" s="532">
        <f t="shared" si="15"/>
        <v>519.4</v>
      </c>
      <c r="Q66" s="532">
        <v>139.30000000000001</v>
      </c>
      <c r="R66" s="532">
        <v>186.7</v>
      </c>
      <c r="S66" s="532">
        <v>126.7</v>
      </c>
      <c r="T66" s="532">
        <v>650.5</v>
      </c>
      <c r="U66" s="532">
        <v>234.9</v>
      </c>
      <c r="V66" s="575" t="s">
        <v>288</v>
      </c>
      <c r="W66" s="573" t="s">
        <v>1212</v>
      </c>
      <c r="X66" s="1403">
        <v>497.4</v>
      </c>
      <c r="Y66" s="1403">
        <v>338.1</v>
      </c>
      <c r="Z66" s="532">
        <v>288.3</v>
      </c>
      <c r="AA66" s="532">
        <v>1584.1</v>
      </c>
      <c r="AB66" s="532">
        <v>1139.3</v>
      </c>
      <c r="AC66" s="532">
        <v>86.3</v>
      </c>
      <c r="AD66" s="532">
        <v>492.9</v>
      </c>
      <c r="AE66" s="532">
        <v>381.8</v>
      </c>
      <c r="AF66" s="532">
        <v>1153.7</v>
      </c>
      <c r="AG66" s="532">
        <v>1381.4</v>
      </c>
      <c r="AH66" s="532">
        <v>1280.5</v>
      </c>
      <c r="AI66" s="532">
        <v>3066.1</v>
      </c>
      <c r="AJ66" s="532">
        <v>348.7</v>
      </c>
      <c r="AK66" s="532">
        <v>2003.3</v>
      </c>
      <c r="AL66" s="532">
        <v>2006.7</v>
      </c>
      <c r="AM66" s="532">
        <f>4340.4+2820.5+1954.5</f>
        <v>9115.4</v>
      </c>
      <c r="AN66" s="532">
        <f t="shared" si="20"/>
        <v>26502.1</v>
      </c>
      <c r="AO66" s="532">
        <f t="shared" si="21"/>
        <v>27021.5</v>
      </c>
      <c r="AP66" s="524">
        <f t="shared" si="22"/>
        <v>-5183.5607999999993</v>
      </c>
      <c r="AQ66" s="575" t="s">
        <v>1212</v>
      </c>
    </row>
    <row r="67" spans="1:43" s="480" customFormat="1" ht="13.5" customHeight="1">
      <c r="A67" s="909" t="s">
        <v>1206</v>
      </c>
      <c r="B67" s="738">
        <v>92</v>
      </c>
      <c r="C67" s="738">
        <v>350</v>
      </c>
      <c r="D67" s="738">
        <v>0</v>
      </c>
      <c r="E67" s="738">
        <v>143</v>
      </c>
      <c r="F67" s="436">
        <v>306</v>
      </c>
      <c r="G67" s="436">
        <v>13706</v>
      </c>
      <c r="H67" s="738">
        <v>1</v>
      </c>
      <c r="I67" s="738">
        <v>0</v>
      </c>
      <c r="J67" s="738">
        <v>0</v>
      </c>
      <c r="K67" s="738">
        <f t="shared" si="18"/>
        <v>4091.2335999999996</v>
      </c>
      <c r="L67" s="739">
        <f>16235+78.4*31.304</f>
        <v>18689.2336</v>
      </c>
      <c r="M67" s="739">
        <v>7.9</v>
      </c>
      <c r="N67" s="739"/>
      <c r="O67" s="739">
        <v>636.29999999999995</v>
      </c>
      <c r="P67" s="739">
        <f t="shared" si="15"/>
        <v>644.19999999999993</v>
      </c>
      <c r="Q67" s="739">
        <v>75.8</v>
      </c>
      <c r="R67" s="739">
        <v>168.9</v>
      </c>
      <c r="S67" s="739">
        <v>91.8</v>
      </c>
      <c r="T67" s="739">
        <v>897.9</v>
      </c>
      <c r="U67" s="739">
        <v>131.5</v>
      </c>
      <c r="V67" s="910" t="s">
        <v>1206</v>
      </c>
      <c r="W67" s="909" t="s">
        <v>1206</v>
      </c>
      <c r="X67" s="1396">
        <v>324.10000000000002</v>
      </c>
      <c r="Y67" s="1396">
        <v>259.39999999999998</v>
      </c>
      <c r="Z67" s="739">
        <v>260.39999999999998</v>
      </c>
      <c r="AA67" s="739">
        <v>1590.6</v>
      </c>
      <c r="AB67" s="739">
        <v>1069.0999999999999</v>
      </c>
      <c r="AC67" s="739">
        <v>84.9</v>
      </c>
      <c r="AD67" s="739">
        <v>585.29999999999995</v>
      </c>
      <c r="AE67" s="739">
        <v>306.60000000000002</v>
      </c>
      <c r="AF67" s="739">
        <v>1094.7</v>
      </c>
      <c r="AG67" s="739">
        <v>1424.4</v>
      </c>
      <c r="AH67" s="739">
        <v>1102.5</v>
      </c>
      <c r="AI67" s="739">
        <v>2661.6</v>
      </c>
      <c r="AJ67" s="739">
        <v>387.2</v>
      </c>
      <c r="AK67" s="739">
        <v>2081</v>
      </c>
      <c r="AL67" s="739">
        <v>1977.4</v>
      </c>
      <c r="AM67" s="739">
        <f>3388.9+2543.9+1769.5</f>
        <v>7702.3</v>
      </c>
      <c r="AN67" s="739">
        <f t="shared" si="20"/>
        <v>24277.4</v>
      </c>
      <c r="AO67" s="739">
        <f t="shared" si="21"/>
        <v>24921.600000000002</v>
      </c>
      <c r="AP67" s="436">
        <f t="shared" si="22"/>
        <v>-6232.3664000000026</v>
      </c>
      <c r="AQ67" s="910" t="s">
        <v>1206</v>
      </c>
    </row>
    <row r="68" spans="1:43" s="480" customFormat="1" ht="13.5" customHeight="1">
      <c r="A68" s="813" t="s">
        <v>1213</v>
      </c>
      <c r="B68" s="763">
        <v>102</v>
      </c>
      <c r="C68" s="763">
        <v>493</v>
      </c>
      <c r="D68" s="763">
        <v>1</v>
      </c>
      <c r="E68" s="763">
        <v>119</v>
      </c>
      <c r="F68" s="763">
        <v>298</v>
      </c>
      <c r="G68" s="763">
        <v>13682</v>
      </c>
      <c r="H68" s="763">
        <v>0</v>
      </c>
      <c r="I68" s="763">
        <v>0</v>
      </c>
      <c r="J68" s="763">
        <v>0</v>
      </c>
      <c r="K68" s="763">
        <f t="shared" si="18"/>
        <v>4671.3020047999998</v>
      </c>
      <c r="L68" s="763">
        <f>16269+78.4008*39.506</f>
        <v>19366.3020048</v>
      </c>
      <c r="M68" s="763">
        <v>18.2</v>
      </c>
      <c r="N68" s="763"/>
      <c r="O68" s="763">
        <v>1403.9</v>
      </c>
      <c r="P68" s="763">
        <f t="shared" si="15"/>
        <v>1422.1000000000001</v>
      </c>
      <c r="Q68" s="524">
        <v>89.6</v>
      </c>
      <c r="R68" s="524">
        <v>141.19999999999999</v>
      </c>
      <c r="S68" s="524">
        <v>445.7</v>
      </c>
      <c r="T68" s="524">
        <v>919.5</v>
      </c>
      <c r="U68" s="524">
        <v>298.39999999999998</v>
      </c>
      <c r="V68" s="1530" t="s">
        <v>1213</v>
      </c>
      <c r="W68" s="1531" t="s">
        <v>1213</v>
      </c>
      <c r="X68" s="524">
        <v>606</v>
      </c>
      <c r="Y68" s="524">
        <v>260.10000000000002</v>
      </c>
      <c r="Z68" s="524">
        <v>520.70000000000005</v>
      </c>
      <c r="AA68" s="524">
        <v>1590.2</v>
      </c>
      <c r="AB68" s="524">
        <v>1138.8</v>
      </c>
      <c r="AC68" s="524">
        <v>74</v>
      </c>
      <c r="AD68" s="524">
        <v>711</v>
      </c>
      <c r="AE68" s="524">
        <v>368.4</v>
      </c>
      <c r="AF68" s="524">
        <v>1227</v>
      </c>
      <c r="AG68" s="524">
        <v>1278.7</v>
      </c>
      <c r="AH68" s="524">
        <v>1117</v>
      </c>
      <c r="AI68" s="524">
        <v>2451.6999999999998</v>
      </c>
      <c r="AJ68" s="524">
        <v>375.8</v>
      </c>
      <c r="AK68" s="524">
        <v>1949.6</v>
      </c>
      <c r="AL68" s="524">
        <v>2433.9</v>
      </c>
      <c r="AM68" s="524">
        <f>3677.6+2900.3+2331.6</f>
        <v>8909.5</v>
      </c>
      <c r="AN68" s="524">
        <f t="shared" si="20"/>
        <v>26906.799999999999</v>
      </c>
      <c r="AO68" s="524">
        <f t="shared" si="21"/>
        <v>28328.899999999998</v>
      </c>
      <c r="AP68" s="524">
        <f t="shared" si="22"/>
        <v>-8962.597995199998</v>
      </c>
      <c r="AQ68" s="1530" t="s">
        <v>1213</v>
      </c>
    </row>
    <row r="69" spans="1:43" s="480" customFormat="1" ht="13.5" customHeight="1">
      <c r="A69" s="737" t="s">
        <v>1214</v>
      </c>
      <c r="B69" s="738">
        <v>139</v>
      </c>
      <c r="C69" s="738">
        <v>514</v>
      </c>
      <c r="D69" s="738">
        <v>1</v>
      </c>
      <c r="E69" s="738">
        <v>160</v>
      </c>
      <c r="F69" s="738">
        <v>346</v>
      </c>
      <c r="G69" s="738">
        <v>13999</v>
      </c>
      <c r="H69" s="738">
        <v>0</v>
      </c>
      <c r="I69" s="738">
        <v>0</v>
      </c>
      <c r="J69" s="738">
        <v>0</v>
      </c>
      <c r="K69" s="738">
        <f t="shared" si="18"/>
        <v>4570.152646399998</v>
      </c>
      <c r="L69" s="738">
        <f>16820+78.5472*37.037</f>
        <v>19729.152646399998</v>
      </c>
      <c r="M69" s="738">
        <v>19</v>
      </c>
      <c r="N69" s="738"/>
      <c r="O69" s="738">
        <v>572</v>
      </c>
      <c r="P69" s="738">
        <f t="shared" si="15"/>
        <v>591</v>
      </c>
      <c r="Q69" s="436">
        <v>144</v>
      </c>
      <c r="R69" s="436">
        <v>160</v>
      </c>
      <c r="S69" s="436">
        <v>299</v>
      </c>
      <c r="T69" s="436">
        <v>1189</v>
      </c>
      <c r="U69" s="436">
        <v>423</v>
      </c>
      <c r="V69" s="1560" t="s">
        <v>1214</v>
      </c>
      <c r="W69" s="1561" t="s">
        <v>1214</v>
      </c>
      <c r="X69" s="436">
        <v>366</v>
      </c>
      <c r="Y69" s="436">
        <v>328</v>
      </c>
      <c r="Z69" s="436">
        <v>299</v>
      </c>
      <c r="AA69" s="436">
        <v>2540</v>
      </c>
      <c r="AB69" s="436">
        <v>1282</v>
      </c>
      <c r="AC69" s="436">
        <v>108</v>
      </c>
      <c r="AD69" s="436">
        <v>605</v>
      </c>
      <c r="AE69" s="436">
        <v>409</v>
      </c>
      <c r="AF69" s="436">
        <v>1272</v>
      </c>
      <c r="AG69" s="436">
        <v>1243</v>
      </c>
      <c r="AH69" s="436">
        <v>1065</v>
      </c>
      <c r="AI69" s="436">
        <v>2802</v>
      </c>
      <c r="AJ69" s="436">
        <v>387</v>
      </c>
      <c r="AK69" s="436">
        <v>2730</v>
      </c>
      <c r="AL69" s="436">
        <v>3351</v>
      </c>
      <c r="AM69" s="436">
        <f>4283+3410.3+1803.3</f>
        <v>9496.6</v>
      </c>
      <c r="AN69" s="436">
        <f t="shared" si="20"/>
        <v>30498.6</v>
      </c>
      <c r="AO69" s="436">
        <f t="shared" si="21"/>
        <v>31089.599999999999</v>
      </c>
      <c r="AP69" s="436">
        <f t="shared" si="22"/>
        <v>-11360.4473536</v>
      </c>
      <c r="AQ69" s="1560" t="s">
        <v>1214</v>
      </c>
    </row>
    <row r="70" spans="1:43" s="480" customFormat="1" ht="13.5" customHeight="1" thickBot="1">
      <c r="A70" s="1562" t="s">
        <v>1207</v>
      </c>
      <c r="B70" s="1563">
        <v>143</v>
      </c>
      <c r="C70" s="1563">
        <v>546</v>
      </c>
      <c r="D70" s="1563">
        <v>2</v>
      </c>
      <c r="E70" s="1563">
        <v>139</v>
      </c>
      <c r="F70" s="1563">
        <v>232</v>
      </c>
      <c r="G70" s="1563">
        <v>12734</v>
      </c>
      <c r="H70" s="1563">
        <v>55</v>
      </c>
      <c r="I70" s="1563">
        <v>0</v>
      </c>
      <c r="J70" s="1563">
        <v>0</v>
      </c>
      <c r="K70" s="1563">
        <f t="shared" si="18"/>
        <v>5730.2862720000012</v>
      </c>
      <c r="L70" s="1563">
        <f>15486+78.804*51.968</f>
        <v>19581.286272000001</v>
      </c>
      <c r="M70" s="1563">
        <v>15</v>
      </c>
      <c r="N70" s="1563"/>
      <c r="O70" s="1563">
        <v>587</v>
      </c>
      <c r="P70" s="1564">
        <f t="shared" si="15"/>
        <v>602</v>
      </c>
      <c r="Q70" s="1564">
        <v>209</v>
      </c>
      <c r="R70" s="1564">
        <v>127</v>
      </c>
      <c r="S70" s="1564">
        <v>97</v>
      </c>
      <c r="T70" s="1564">
        <v>996</v>
      </c>
      <c r="U70" s="1564">
        <v>264</v>
      </c>
      <c r="V70" s="1565" t="s">
        <v>1207</v>
      </c>
      <c r="W70" s="1566" t="s">
        <v>1207</v>
      </c>
      <c r="X70" s="1564">
        <v>672</v>
      </c>
      <c r="Y70" s="1564">
        <v>291</v>
      </c>
      <c r="Z70" s="1564">
        <v>268</v>
      </c>
      <c r="AA70" s="1564">
        <v>1257</v>
      </c>
      <c r="AB70" s="1564">
        <v>1345</v>
      </c>
      <c r="AC70" s="1564">
        <v>107</v>
      </c>
      <c r="AD70" s="1564">
        <v>332</v>
      </c>
      <c r="AE70" s="1564">
        <v>345</v>
      </c>
      <c r="AF70" s="1564">
        <v>1282</v>
      </c>
      <c r="AG70" s="1564">
        <v>1797</v>
      </c>
      <c r="AH70" s="1564">
        <v>1019</v>
      </c>
      <c r="AI70" s="1564">
        <v>2702</v>
      </c>
      <c r="AJ70" s="1564">
        <v>355</v>
      </c>
      <c r="AK70" s="1564">
        <v>2279</v>
      </c>
      <c r="AL70" s="1564">
        <v>2570</v>
      </c>
      <c r="AM70" s="1564">
        <f>4549+3044+2155</f>
        <v>9748</v>
      </c>
      <c r="AN70" s="1564">
        <f t="shared" si="20"/>
        <v>28062</v>
      </c>
      <c r="AO70" s="1564">
        <f t="shared" si="21"/>
        <v>28664</v>
      </c>
      <c r="AP70" s="1564">
        <f t="shared" si="22"/>
        <v>-9082.7137279999988</v>
      </c>
      <c r="AQ70" s="1565" t="s">
        <v>1207</v>
      </c>
    </row>
    <row r="71" spans="1:43" s="55" customFormat="1" ht="9" customHeight="1">
      <c r="A71" s="377" t="s">
        <v>1579</v>
      </c>
      <c r="B71" s="268" t="s">
        <v>1495</v>
      </c>
      <c r="C71" s="268"/>
      <c r="D71" s="268"/>
      <c r="E71" s="268"/>
      <c r="F71" s="268"/>
      <c r="G71" s="268"/>
      <c r="H71" s="268"/>
      <c r="I71" s="268"/>
      <c r="J71" s="63"/>
      <c r="K71" s="738"/>
      <c r="L71" s="268"/>
      <c r="M71" s="378" t="s">
        <v>509</v>
      </c>
      <c r="N71" s="1259" t="s">
        <v>548</v>
      </c>
      <c r="O71" s="1776" t="s">
        <v>2782</v>
      </c>
      <c r="P71" s="1776"/>
      <c r="Q71" s="1776"/>
      <c r="R71" s="1776"/>
      <c r="S71" s="1776"/>
      <c r="T71" s="1776"/>
      <c r="U71" s="1776"/>
      <c r="V71" s="1776"/>
      <c r="W71" s="368" t="s">
        <v>32</v>
      </c>
      <c r="X71" s="1966" t="s">
        <v>2677</v>
      </c>
      <c r="Y71" s="1966"/>
      <c r="Z71" s="1966"/>
      <c r="AA71" s="1966"/>
      <c r="AB71" s="1966"/>
      <c r="AC71" s="1966"/>
      <c r="AD71" s="1966"/>
      <c r="AE71" s="13"/>
      <c r="AF71" s="63"/>
      <c r="AG71" s="367"/>
      <c r="AH71" s="367"/>
      <c r="AI71" s="238"/>
      <c r="AJ71" s="238"/>
      <c r="AK71" s="238"/>
      <c r="AL71" s="238"/>
      <c r="AM71" s="238"/>
      <c r="AN71" s="739"/>
      <c r="AO71" s="367"/>
      <c r="AP71" s="367"/>
      <c r="AQ71" s="379"/>
    </row>
    <row r="72" spans="1:43" s="55" customFormat="1" ht="9" customHeight="1">
      <c r="A72" s="366" t="s">
        <v>1578</v>
      </c>
      <c r="B72" s="1966" t="s">
        <v>544</v>
      </c>
      <c r="C72" s="1966"/>
      <c r="D72" s="1966"/>
      <c r="E72" s="1966"/>
      <c r="F72" s="1966"/>
      <c r="G72" s="1966"/>
      <c r="H72" s="1966"/>
      <c r="I72" s="367"/>
      <c r="J72" s="367"/>
      <c r="K72" s="367"/>
      <c r="L72" s="268"/>
      <c r="O72" s="380"/>
      <c r="P72" s="1965"/>
      <c r="Q72" s="1965"/>
      <c r="V72" s="369"/>
      <c r="W72" s="379"/>
      <c r="X72" s="1965" t="s">
        <v>974</v>
      </c>
      <c r="Y72" s="1965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379"/>
    </row>
    <row r="73" spans="1:43" s="55" customFormat="1" ht="9" customHeight="1">
      <c r="A73" s="366"/>
      <c r="B73" s="1965" t="s">
        <v>1329</v>
      </c>
      <c r="C73" s="1965"/>
      <c r="D73" s="1965" t="s">
        <v>974</v>
      </c>
      <c r="E73" s="1965"/>
      <c r="F73" s="13"/>
      <c r="G73" s="13"/>
      <c r="H73" s="13"/>
      <c r="I73" s="367"/>
      <c r="J73" s="367"/>
      <c r="K73" s="367"/>
      <c r="L73" s="268"/>
      <c r="O73" s="380"/>
      <c r="P73" s="1397"/>
      <c r="Q73" s="1397"/>
      <c r="V73" s="369"/>
      <c r="W73" s="379"/>
      <c r="X73" s="63"/>
      <c r="Y73" s="63"/>
      <c r="Z73" s="63"/>
      <c r="AA73" s="63"/>
      <c r="AB73" s="63"/>
      <c r="AC73" s="63"/>
      <c r="AD73" s="63"/>
      <c r="AE73" s="63"/>
      <c r="AF73" s="63"/>
      <c r="AG73" s="63"/>
      <c r="AH73" s="63"/>
      <c r="AI73" s="63"/>
      <c r="AJ73" s="63"/>
      <c r="AK73" s="63"/>
      <c r="AL73" s="63"/>
      <c r="AM73" s="63"/>
      <c r="AN73" s="63"/>
      <c r="AO73" s="63"/>
      <c r="AP73" s="63"/>
      <c r="AQ73" s="379"/>
    </row>
    <row r="74" spans="1:43" ht="11.25">
      <c r="K74" s="739"/>
      <c r="L74" s="1410"/>
    </row>
  </sheetData>
  <mergeCells count="40">
    <mergeCell ref="V3:V6"/>
    <mergeCell ref="B73:C73"/>
    <mergeCell ref="D73:E73"/>
    <mergeCell ref="X72:Y72"/>
    <mergeCell ref="B72:H72"/>
    <mergeCell ref="O71:V71"/>
    <mergeCell ref="P72:Q72"/>
    <mergeCell ref="X71:AD71"/>
    <mergeCell ref="Q4:U4"/>
    <mergeCell ref="B4:B5"/>
    <mergeCell ref="C4:C5"/>
    <mergeCell ref="F4:F5"/>
    <mergeCell ref="L4:L5"/>
    <mergeCell ref="J4:J5"/>
    <mergeCell ref="A1:D1"/>
    <mergeCell ref="U2:V2"/>
    <mergeCell ref="D4:D5"/>
    <mergeCell ref="H4:H5"/>
    <mergeCell ref="I4:I5"/>
    <mergeCell ref="B3:L3"/>
    <mergeCell ref="M1:O1"/>
    <mergeCell ref="K4:K5"/>
    <mergeCell ref="T1:V1"/>
    <mergeCell ref="J1:L1"/>
    <mergeCell ref="M4:P4"/>
    <mergeCell ref="G4:G5"/>
    <mergeCell ref="A3:A6"/>
    <mergeCell ref="E4:E5"/>
    <mergeCell ref="M3:U3"/>
    <mergeCell ref="M5:N5"/>
    <mergeCell ref="AH1:AJ1"/>
    <mergeCell ref="AI3:AO3"/>
    <mergeCell ref="AP3:AP5"/>
    <mergeCell ref="AP2:AQ2"/>
    <mergeCell ref="W3:W6"/>
    <mergeCell ref="X3:AH3"/>
    <mergeCell ref="X4:AO4"/>
    <mergeCell ref="AO1:AQ1"/>
    <mergeCell ref="AQ3:AQ6"/>
    <mergeCell ref="AF1:AG1"/>
  </mergeCells>
  <phoneticPr fontId="0" type="noConversion"/>
  <pageMargins left="0.62992125984252001" right="0.511811023622047" top="0.511811023622047" bottom="0.511811023622047" header="0" footer="0.39370078740157499"/>
  <pageSetup paperSize="512" firstPageNumber="32" orientation="portrait" useFirstPageNumber="1" r:id="rId1"/>
  <headerFooter alignWithMargins="0">
    <oddFooter>&amp;C&amp;"Times New Roman,Regular"&amp;8&amp;P</oddFooter>
  </headerFooter>
  <ignoredErrors>
    <ignoredError sqref="AN25:AP25 K25:Q25" formula="1"/>
  </ignoredErrors>
</worksheet>
</file>

<file path=xl/worksheets/sheet15.xml><?xml version="1.0" encoding="utf-8"?>
<worksheet xmlns="http://schemas.openxmlformats.org/spreadsheetml/2006/main" xmlns:r="http://schemas.openxmlformats.org/officeDocument/2006/relationships">
  <dimension ref="A1:AC39"/>
  <sheetViews>
    <sheetView workbookViewId="0">
      <pane xSplit="1" ySplit="6" topLeftCell="B22" activePane="bottomRight" state="frozen"/>
      <selection pane="topRight" activeCell="B1" sqref="B1"/>
      <selection pane="bottomLeft" activeCell="A7" sqref="A7"/>
      <selection pane="bottomRight" activeCell="AB28" sqref="AB28"/>
    </sheetView>
  </sheetViews>
  <sheetFormatPr defaultColWidth="9.140625" defaultRowHeight="12.75"/>
  <cols>
    <col min="1" max="1" width="9.85546875" style="2" customWidth="1"/>
    <col min="2" max="2" width="10.7109375" style="2" customWidth="1"/>
    <col min="3" max="3" width="10.5703125" style="2" customWidth="1"/>
    <col min="4" max="4" width="10.7109375" style="2" customWidth="1"/>
    <col min="5" max="5" width="11" style="2" customWidth="1"/>
    <col min="6" max="6" width="10.7109375" style="2" customWidth="1"/>
    <col min="7" max="7" width="11.28515625" style="2" customWidth="1"/>
    <col min="8" max="8" width="12.140625" style="2" customWidth="1"/>
    <col min="9" max="9" width="11.28515625" style="2" customWidth="1"/>
    <col min="10" max="10" width="10.7109375" style="2" customWidth="1"/>
    <col min="11" max="11" width="10.5703125" style="2" customWidth="1"/>
    <col min="12" max="12" width="10.7109375" style="2" customWidth="1"/>
    <col min="13" max="13" width="10.85546875" style="2" customWidth="1"/>
    <col min="14" max="14" width="9.85546875" style="2" customWidth="1"/>
    <col min="15" max="15" width="9.7109375" style="2" customWidth="1"/>
    <col min="16" max="16" width="10.7109375" style="2" customWidth="1"/>
    <col min="17" max="17" width="11" style="2" customWidth="1"/>
    <col min="18" max="18" width="10.85546875" style="2" customWidth="1"/>
    <col min="19" max="19" width="11.28515625" style="2" customWidth="1"/>
    <col min="20" max="20" width="10.7109375" style="2" customWidth="1"/>
    <col min="21" max="21" width="10.85546875" style="2" customWidth="1"/>
    <col min="22" max="22" width="10.7109375" style="2" customWidth="1"/>
    <col min="23" max="23" width="11" style="2" customWidth="1"/>
    <col min="24" max="24" width="10.7109375" style="2" customWidth="1"/>
    <col min="25" max="26" width="10.85546875" style="2" customWidth="1"/>
    <col min="27" max="28" width="10.7109375" style="2" customWidth="1"/>
    <col min="29" max="16384" width="9.140625" style="2"/>
  </cols>
  <sheetData>
    <row r="1" spans="1:29" s="34" customFormat="1" ht="15.75" customHeight="1">
      <c r="A1" s="1973" t="s">
        <v>316</v>
      </c>
      <c r="B1" s="1973"/>
      <c r="C1" s="1973"/>
      <c r="D1" s="1973"/>
      <c r="E1" s="1973"/>
      <c r="F1" s="1973"/>
      <c r="G1" s="1973"/>
      <c r="H1" s="1974" t="s">
        <v>317</v>
      </c>
      <c r="I1" s="1974"/>
      <c r="J1" s="1974"/>
      <c r="K1" s="1974"/>
      <c r="M1" s="1973" t="s">
        <v>555</v>
      </c>
      <c r="N1" s="1973"/>
      <c r="O1" s="1973" t="s">
        <v>316</v>
      </c>
      <c r="P1" s="1973"/>
      <c r="Q1" s="1973"/>
      <c r="R1" s="1973"/>
      <c r="S1" s="1973"/>
      <c r="T1" s="1973"/>
      <c r="U1" s="1973"/>
      <c r="V1" s="1974" t="s">
        <v>317</v>
      </c>
      <c r="W1" s="1974"/>
      <c r="X1" s="1974"/>
      <c r="Y1" s="1974"/>
      <c r="Z1" s="35"/>
      <c r="AA1" s="1972" t="s">
        <v>831</v>
      </c>
      <c r="AB1" s="1972"/>
      <c r="AC1" s="35"/>
    </row>
    <row r="2" spans="1:29" s="31" customFormat="1" ht="13.5" customHeight="1">
      <c r="A2" s="117"/>
      <c r="P2" s="118"/>
      <c r="Q2" s="118"/>
      <c r="R2" s="118"/>
      <c r="S2" s="118"/>
      <c r="T2" s="119"/>
      <c r="U2" s="119"/>
      <c r="V2" s="119"/>
      <c r="W2" s="119"/>
      <c r="X2" s="119"/>
      <c r="Y2" s="119"/>
      <c r="Z2" s="119"/>
      <c r="AA2" s="119"/>
      <c r="AB2" s="119"/>
      <c r="AC2" s="119"/>
    </row>
    <row r="3" spans="1:29" s="184" customFormat="1" ht="20.25" customHeight="1">
      <c r="A3" s="1975" t="s">
        <v>1132</v>
      </c>
      <c r="B3" s="1978" t="s">
        <v>455</v>
      </c>
      <c r="C3" s="1978"/>
      <c r="D3" s="1978" t="s">
        <v>456</v>
      </c>
      <c r="E3" s="1978"/>
      <c r="F3" s="1978" t="s">
        <v>457</v>
      </c>
      <c r="G3" s="1978"/>
      <c r="H3" s="1978" t="s">
        <v>1144</v>
      </c>
      <c r="I3" s="1978"/>
      <c r="J3" s="1978" t="s">
        <v>829</v>
      </c>
      <c r="K3" s="1978"/>
      <c r="L3" s="1978" t="s">
        <v>830</v>
      </c>
      <c r="M3" s="1978"/>
      <c r="N3" s="1975" t="s">
        <v>1132</v>
      </c>
      <c r="O3" s="1975" t="s">
        <v>1132</v>
      </c>
      <c r="P3" s="1978" t="s">
        <v>832</v>
      </c>
      <c r="Q3" s="1978"/>
      <c r="R3" s="1978" t="s">
        <v>833</v>
      </c>
      <c r="S3" s="1978"/>
      <c r="T3" s="1978" t="s">
        <v>834</v>
      </c>
      <c r="U3" s="1978"/>
      <c r="V3" s="1978" t="s">
        <v>270</v>
      </c>
      <c r="W3" s="1978"/>
      <c r="X3" s="1978" t="s">
        <v>835</v>
      </c>
      <c r="Y3" s="1978"/>
      <c r="Z3" s="1978" t="s">
        <v>291</v>
      </c>
      <c r="AA3" s="1978"/>
      <c r="AB3" s="1975" t="s">
        <v>1132</v>
      </c>
    </row>
    <row r="4" spans="1:29" s="1529" customFormat="1" ht="23.25" customHeight="1">
      <c r="A4" s="1976"/>
      <c r="B4" s="1968" t="s">
        <v>1701</v>
      </c>
      <c r="C4" s="1968" t="s">
        <v>1699</v>
      </c>
      <c r="D4" s="1968" t="s">
        <v>1701</v>
      </c>
      <c r="E4" s="1968" t="s">
        <v>1699</v>
      </c>
      <c r="F4" s="1968" t="s">
        <v>1701</v>
      </c>
      <c r="G4" s="1968" t="s">
        <v>1699</v>
      </c>
      <c r="H4" s="1968" t="s">
        <v>1700</v>
      </c>
      <c r="I4" s="1968" t="s">
        <v>1699</v>
      </c>
      <c r="J4" s="1968" t="s">
        <v>1701</v>
      </c>
      <c r="K4" s="1968" t="s">
        <v>1699</v>
      </c>
      <c r="L4" s="1968" t="s">
        <v>1701</v>
      </c>
      <c r="M4" s="1968" t="s">
        <v>1699</v>
      </c>
      <c r="N4" s="1976"/>
      <c r="O4" s="1976"/>
      <c r="P4" s="1968" t="s">
        <v>1701</v>
      </c>
      <c r="Q4" s="1968" t="s">
        <v>1699</v>
      </c>
      <c r="R4" s="1968" t="s">
        <v>1701</v>
      </c>
      <c r="S4" s="1968" t="s">
        <v>1699</v>
      </c>
      <c r="T4" s="1968" t="s">
        <v>1701</v>
      </c>
      <c r="U4" s="1968" t="s">
        <v>1699</v>
      </c>
      <c r="V4" s="1968" t="s">
        <v>1701</v>
      </c>
      <c r="W4" s="1968" t="s">
        <v>1699</v>
      </c>
      <c r="X4" s="1968" t="s">
        <v>1701</v>
      </c>
      <c r="Y4" s="1968" t="s">
        <v>1699</v>
      </c>
      <c r="Z4" s="1968" t="s">
        <v>1701</v>
      </c>
      <c r="AA4" s="1968" t="s">
        <v>1699</v>
      </c>
      <c r="AB4" s="1976"/>
    </row>
    <row r="5" spans="1:29" s="1529" customFormat="1" ht="21" customHeight="1">
      <c r="A5" s="1977"/>
      <c r="B5" s="1969"/>
      <c r="C5" s="1969"/>
      <c r="D5" s="1969"/>
      <c r="E5" s="1969"/>
      <c r="F5" s="1969"/>
      <c r="G5" s="1969"/>
      <c r="H5" s="1969"/>
      <c r="I5" s="1969"/>
      <c r="J5" s="1969"/>
      <c r="K5" s="1969"/>
      <c r="L5" s="1969"/>
      <c r="M5" s="1969"/>
      <c r="N5" s="1977"/>
      <c r="O5" s="1977"/>
      <c r="P5" s="1969"/>
      <c r="Q5" s="1969"/>
      <c r="R5" s="1969"/>
      <c r="S5" s="1969"/>
      <c r="T5" s="1969"/>
      <c r="U5" s="1969"/>
      <c r="V5" s="1969"/>
      <c r="W5" s="1969"/>
      <c r="X5" s="1969"/>
      <c r="Y5" s="1969"/>
      <c r="Z5" s="1969"/>
      <c r="AA5" s="1969"/>
      <c r="AB5" s="1977"/>
    </row>
    <row r="6" spans="1:29">
      <c r="A6" s="109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1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0"/>
    </row>
    <row r="7" spans="1:29" s="10" customFormat="1" ht="24" customHeight="1">
      <c r="A7" s="1407" t="s">
        <v>1194</v>
      </c>
      <c r="B7" s="111">
        <v>1850</v>
      </c>
      <c r="C7" s="111">
        <v>4076</v>
      </c>
      <c r="D7" s="111">
        <v>9419</v>
      </c>
      <c r="E7" s="111">
        <v>14029</v>
      </c>
      <c r="F7" s="111">
        <v>6772</v>
      </c>
      <c r="G7" s="111">
        <v>6378</v>
      </c>
      <c r="H7" s="111">
        <v>1131</v>
      </c>
      <c r="I7" s="111">
        <v>1520</v>
      </c>
      <c r="J7" s="111">
        <v>7111</v>
      </c>
      <c r="K7" s="111">
        <v>447</v>
      </c>
      <c r="L7" s="111">
        <v>239</v>
      </c>
      <c r="M7" s="111">
        <v>832</v>
      </c>
      <c r="N7" s="1408" t="s">
        <v>1194</v>
      </c>
      <c r="O7" s="1407" t="s">
        <v>1194</v>
      </c>
      <c r="P7" s="111">
        <v>30</v>
      </c>
      <c r="Q7" s="111">
        <v>133</v>
      </c>
      <c r="R7" s="111">
        <v>168</v>
      </c>
      <c r="S7" s="111">
        <v>513</v>
      </c>
      <c r="T7" s="111">
        <v>38</v>
      </c>
      <c r="U7" s="111">
        <v>91</v>
      </c>
      <c r="V7" s="111">
        <v>51</v>
      </c>
      <c r="W7" s="111">
        <v>118</v>
      </c>
      <c r="X7" s="111">
        <v>808</v>
      </c>
      <c r="Y7" s="111">
        <v>1182</v>
      </c>
      <c r="Z7" s="111">
        <v>26</v>
      </c>
      <c r="AA7" s="111">
        <v>78</v>
      </c>
      <c r="AB7" s="1408" t="s">
        <v>1194</v>
      </c>
    </row>
    <row r="8" spans="1:29" s="10" customFormat="1" ht="21.95" customHeight="1">
      <c r="A8" s="1160" t="s">
        <v>1195</v>
      </c>
      <c r="B8" s="1405">
        <v>1791</v>
      </c>
      <c r="C8" s="1405">
        <v>4111</v>
      </c>
      <c r="D8" s="1405">
        <v>8509</v>
      </c>
      <c r="E8" s="1405">
        <v>13824</v>
      </c>
      <c r="F8" s="1405">
        <v>6538</v>
      </c>
      <c r="G8" s="1405">
        <v>6582</v>
      </c>
      <c r="H8" s="1405">
        <v>1245</v>
      </c>
      <c r="I8" s="1405">
        <v>1580</v>
      </c>
      <c r="J8" s="1405">
        <v>7446</v>
      </c>
      <c r="K8" s="1405">
        <v>445</v>
      </c>
      <c r="L8" s="1405">
        <v>245</v>
      </c>
      <c r="M8" s="1405">
        <v>833</v>
      </c>
      <c r="N8" s="1072" t="s">
        <v>1195</v>
      </c>
      <c r="O8" s="1406" t="s">
        <v>1195</v>
      </c>
      <c r="P8" s="1405">
        <v>32</v>
      </c>
      <c r="Q8" s="1405">
        <v>133</v>
      </c>
      <c r="R8" s="1405">
        <v>168</v>
      </c>
      <c r="S8" s="1405">
        <v>512</v>
      </c>
      <c r="T8" s="1405">
        <v>38</v>
      </c>
      <c r="U8" s="1405">
        <v>89</v>
      </c>
      <c r="V8" s="1405">
        <v>52</v>
      </c>
      <c r="W8" s="1405">
        <v>118</v>
      </c>
      <c r="X8" s="1405">
        <v>964</v>
      </c>
      <c r="Y8" s="1405">
        <v>1383</v>
      </c>
      <c r="Z8" s="1405">
        <v>13</v>
      </c>
      <c r="AA8" s="1405">
        <v>86</v>
      </c>
      <c r="AB8" s="604" t="s">
        <v>1195</v>
      </c>
    </row>
    <row r="9" spans="1:29" s="10" customFormat="1" ht="21.95" customHeight="1">
      <c r="A9" s="466" t="s">
        <v>1196</v>
      </c>
      <c r="B9" s="111">
        <v>1676</v>
      </c>
      <c r="C9" s="111">
        <v>3840</v>
      </c>
      <c r="D9" s="111">
        <v>8790</v>
      </c>
      <c r="E9" s="111">
        <v>13953</v>
      </c>
      <c r="F9" s="111">
        <v>7221</v>
      </c>
      <c r="G9" s="111">
        <v>6804</v>
      </c>
      <c r="H9" s="111">
        <v>1369</v>
      </c>
      <c r="I9" s="111">
        <v>1732</v>
      </c>
      <c r="J9" s="111">
        <v>7165</v>
      </c>
      <c r="K9" s="111">
        <v>431</v>
      </c>
      <c r="L9" s="111">
        <v>246</v>
      </c>
      <c r="M9" s="111">
        <v>830</v>
      </c>
      <c r="N9" s="1409" t="s">
        <v>1196</v>
      </c>
      <c r="O9" s="466" t="s">
        <v>1196</v>
      </c>
      <c r="P9" s="111">
        <v>32</v>
      </c>
      <c r="Q9" s="111">
        <v>136</v>
      </c>
      <c r="R9" s="111">
        <v>170</v>
      </c>
      <c r="S9" s="111">
        <v>509</v>
      </c>
      <c r="T9" s="111">
        <v>39</v>
      </c>
      <c r="U9" s="111">
        <v>90</v>
      </c>
      <c r="V9" s="111">
        <v>48</v>
      </c>
      <c r="W9" s="111">
        <v>119</v>
      </c>
      <c r="X9" s="111">
        <v>739</v>
      </c>
      <c r="Y9" s="111">
        <v>1133</v>
      </c>
      <c r="Z9" s="111">
        <v>13</v>
      </c>
      <c r="AA9" s="111">
        <v>86</v>
      </c>
      <c r="AB9" s="1409" t="s">
        <v>1196</v>
      </c>
    </row>
    <row r="10" spans="1:29" s="10" customFormat="1" ht="21.95" customHeight="1">
      <c r="A10" s="1406" t="s">
        <v>1197</v>
      </c>
      <c r="B10" s="1405">
        <v>1871</v>
      </c>
      <c r="C10" s="1405">
        <v>3935</v>
      </c>
      <c r="D10" s="1405">
        <v>9552</v>
      </c>
      <c r="E10" s="1405">
        <v>14399</v>
      </c>
      <c r="F10" s="1405">
        <v>7460</v>
      </c>
      <c r="G10" s="1405">
        <v>6876</v>
      </c>
      <c r="H10" s="1405">
        <v>1454</v>
      </c>
      <c r="I10" s="1405">
        <v>1749</v>
      </c>
      <c r="J10" s="1405">
        <v>7520</v>
      </c>
      <c r="K10" s="1405">
        <v>434</v>
      </c>
      <c r="L10" s="1405">
        <v>249</v>
      </c>
      <c r="M10" s="1405">
        <v>831</v>
      </c>
      <c r="N10" s="604" t="s">
        <v>1197</v>
      </c>
      <c r="O10" s="1406" t="s">
        <v>1197</v>
      </c>
      <c r="P10" s="1405">
        <v>34</v>
      </c>
      <c r="Q10" s="1405">
        <v>136</v>
      </c>
      <c r="R10" s="1405">
        <v>171</v>
      </c>
      <c r="S10" s="1405">
        <v>510</v>
      </c>
      <c r="T10" s="1405">
        <v>38</v>
      </c>
      <c r="U10" s="1405">
        <v>86</v>
      </c>
      <c r="V10" s="1405">
        <v>53</v>
      </c>
      <c r="W10" s="1405">
        <v>119</v>
      </c>
      <c r="X10" s="1405">
        <v>883</v>
      </c>
      <c r="Y10" s="1405">
        <v>1253</v>
      </c>
      <c r="Z10" s="1405">
        <v>14</v>
      </c>
      <c r="AA10" s="1405">
        <v>91</v>
      </c>
      <c r="AB10" s="604" t="s">
        <v>1197</v>
      </c>
    </row>
    <row r="11" spans="1:29" s="10" customFormat="1" ht="21.95" customHeight="1">
      <c r="A11" s="466" t="s">
        <v>1198</v>
      </c>
      <c r="B11" s="111">
        <v>1875</v>
      </c>
      <c r="C11" s="111">
        <v>3868</v>
      </c>
      <c r="D11" s="111">
        <v>8850</v>
      </c>
      <c r="E11" s="111">
        <v>14353</v>
      </c>
      <c r="F11" s="111">
        <v>8137</v>
      </c>
      <c r="G11" s="111">
        <v>7138</v>
      </c>
      <c r="H11" s="111">
        <v>1803</v>
      </c>
      <c r="I11" s="111">
        <v>1988</v>
      </c>
      <c r="J11" s="111">
        <v>7379</v>
      </c>
      <c r="K11" s="111">
        <v>433</v>
      </c>
      <c r="L11" s="111">
        <v>254</v>
      </c>
      <c r="M11" s="111">
        <v>849</v>
      </c>
      <c r="N11" s="1409" t="s">
        <v>1198</v>
      </c>
      <c r="O11" s="466" t="s">
        <v>1198</v>
      </c>
      <c r="P11" s="111">
        <v>34</v>
      </c>
      <c r="Q11" s="111">
        <v>135</v>
      </c>
      <c r="R11" s="111">
        <v>163</v>
      </c>
      <c r="S11" s="111">
        <v>508</v>
      </c>
      <c r="T11" s="111">
        <v>37</v>
      </c>
      <c r="U11" s="111">
        <v>81</v>
      </c>
      <c r="V11" s="111">
        <v>51</v>
      </c>
      <c r="W11" s="111">
        <v>120</v>
      </c>
      <c r="X11" s="111">
        <v>1057</v>
      </c>
      <c r="Y11" s="111">
        <v>1427</v>
      </c>
      <c r="Z11" s="111">
        <v>14</v>
      </c>
      <c r="AA11" s="111">
        <v>86</v>
      </c>
      <c r="AB11" s="1409" t="s">
        <v>1198</v>
      </c>
    </row>
    <row r="12" spans="1:29" s="10" customFormat="1" ht="21.95" customHeight="1">
      <c r="A12" s="1406" t="s">
        <v>1199</v>
      </c>
      <c r="B12" s="1405">
        <v>1617</v>
      </c>
      <c r="C12" s="1405">
        <v>3519</v>
      </c>
      <c r="D12" s="1405">
        <v>7736</v>
      </c>
      <c r="E12" s="1405">
        <v>12762</v>
      </c>
      <c r="F12" s="1405">
        <v>10552</v>
      </c>
      <c r="G12" s="1405">
        <v>8715</v>
      </c>
      <c r="H12" s="1405">
        <v>1988</v>
      </c>
      <c r="I12" s="1405">
        <v>2180</v>
      </c>
      <c r="J12" s="1405">
        <v>6951</v>
      </c>
      <c r="K12" s="1405">
        <v>430</v>
      </c>
      <c r="L12" s="1405">
        <v>253</v>
      </c>
      <c r="M12" s="1405">
        <v>850</v>
      </c>
      <c r="N12" s="604" t="s">
        <v>1199</v>
      </c>
      <c r="O12" s="1406" t="s">
        <v>1199</v>
      </c>
      <c r="P12" s="1405">
        <v>34</v>
      </c>
      <c r="Q12" s="1405">
        <v>137</v>
      </c>
      <c r="R12" s="1405">
        <v>165</v>
      </c>
      <c r="S12" s="1405">
        <v>508</v>
      </c>
      <c r="T12" s="1405">
        <v>29</v>
      </c>
      <c r="U12" s="1405">
        <v>78</v>
      </c>
      <c r="V12" s="1405">
        <v>56</v>
      </c>
      <c r="W12" s="1405">
        <v>120</v>
      </c>
      <c r="X12" s="1405">
        <v>812</v>
      </c>
      <c r="Y12" s="1405">
        <v>1181</v>
      </c>
      <c r="Z12" s="1405" t="s">
        <v>1257</v>
      </c>
      <c r="AA12" s="1405" t="s">
        <v>1257</v>
      </c>
      <c r="AB12" s="604" t="s">
        <v>1199</v>
      </c>
    </row>
    <row r="13" spans="1:29" s="10" customFormat="1" ht="21.95" customHeight="1">
      <c r="A13" s="466" t="s">
        <v>1200</v>
      </c>
      <c r="B13" s="111">
        <v>1734</v>
      </c>
      <c r="C13" s="111">
        <v>3339</v>
      </c>
      <c r="D13" s="111">
        <v>10305</v>
      </c>
      <c r="E13" s="111">
        <v>14097</v>
      </c>
      <c r="F13" s="111">
        <v>11027</v>
      </c>
      <c r="G13" s="111">
        <v>9024</v>
      </c>
      <c r="H13" s="111">
        <v>1840</v>
      </c>
      <c r="I13" s="111">
        <v>2057</v>
      </c>
      <c r="J13" s="111">
        <v>6910</v>
      </c>
      <c r="K13" s="111">
        <v>421</v>
      </c>
      <c r="L13" s="111">
        <v>249</v>
      </c>
      <c r="M13" s="111">
        <v>812</v>
      </c>
      <c r="N13" s="1409" t="s">
        <v>1200</v>
      </c>
      <c r="O13" s="466" t="s">
        <v>1200</v>
      </c>
      <c r="P13" s="111">
        <v>36</v>
      </c>
      <c r="Q13" s="111">
        <v>136</v>
      </c>
      <c r="R13" s="111">
        <v>128</v>
      </c>
      <c r="S13" s="111">
        <v>412</v>
      </c>
      <c r="T13" s="111">
        <v>35</v>
      </c>
      <c r="U13" s="111">
        <v>88</v>
      </c>
      <c r="V13" s="111">
        <v>46</v>
      </c>
      <c r="W13" s="111">
        <v>120</v>
      </c>
      <c r="X13" s="111">
        <v>711</v>
      </c>
      <c r="Y13" s="111">
        <v>1008</v>
      </c>
      <c r="Z13" s="111" t="s">
        <v>1257</v>
      </c>
      <c r="AA13" s="111" t="s">
        <v>1257</v>
      </c>
      <c r="AB13" s="1409" t="s">
        <v>1200</v>
      </c>
    </row>
    <row r="14" spans="1:29" s="10" customFormat="1" ht="21.95" customHeight="1">
      <c r="A14" s="1406" t="s">
        <v>1201</v>
      </c>
      <c r="B14" s="1405">
        <v>1916</v>
      </c>
      <c r="C14" s="1405">
        <v>3275</v>
      </c>
      <c r="D14" s="1405">
        <v>11249</v>
      </c>
      <c r="E14" s="1405">
        <v>14110</v>
      </c>
      <c r="F14" s="1405">
        <v>11921</v>
      </c>
      <c r="G14" s="1405">
        <v>9296</v>
      </c>
      <c r="H14" s="1405">
        <v>1673</v>
      </c>
      <c r="I14" s="1405">
        <v>1909</v>
      </c>
      <c r="J14" s="1405">
        <v>6742</v>
      </c>
      <c r="K14" s="1405">
        <v>417</v>
      </c>
      <c r="L14" s="1405">
        <v>238</v>
      </c>
      <c r="M14" s="1405">
        <v>785</v>
      </c>
      <c r="N14" s="604" t="s">
        <v>1201</v>
      </c>
      <c r="O14" s="1406" t="s">
        <v>1201</v>
      </c>
      <c r="P14" s="1405">
        <v>34</v>
      </c>
      <c r="Q14" s="1405">
        <v>130</v>
      </c>
      <c r="R14" s="1405">
        <v>126</v>
      </c>
      <c r="S14" s="1405">
        <v>406</v>
      </c>
      <c r="T14" s="1405">
        <v>37</v>
      </c>
      <c r="U14" s="1405">
        <v>74</v>
      </c>
      <c r="V14" s="1405">
        <v>52</v>
      </c>
      <c r="W14" s="1405">
        <v>120</v>
      </c>
      <c r="X14" s="1405">
        <v>821</v>
      </c>
      <c r="Y14" s="1405">
        <v>1107</v>
      </c>
      <c r="Z14" s="1405">
        <v>27</v>
      </c>
      <c r="AA14" s="1405">
        <v>40</v>
      </c>
      <c r="AB14" s="604" t="s">
        <v>1201</v>
      </c>
    </row>
    <row r="15" spans="1:29" s="10" customFormat="1" ht="21.95" customHeight="1">
      <c r="A15" s="466" t="s">
        <v>1202</v>
      </c>
      <c r="B15" s="111">
        <v>1808</v>
      </c>
      <c r="C15" s="111">
        <v>3069</v>
      </c>
      <c r="D15" s="111">
        <v>10726</v>
      </c>
      <c r="E15" s="111">
        <v>13955</v>
      </c>
      <c r="F15" s="111">
        <v>11766</v>
      </c>
      <c r="G15" s="111">
        <v>9319</v>
      </c>
      <c r="H15" s="111">
        <v>1606</v>
      </c>
      <c r="I15" s="111">
        <v>1833</v>
      </c>
      <c r="J15" s="111">
        <v>6502</v>
      </c>
      <c r="K15" s="111">
        <v>402</v>
      </c>
      <c r="L15" s="111">
        <v>233</v>
      </c>
      <c r="M15" s="111">
        <v>749</v>
      </c>
      <c r="N15" s="1409" t="s">
        <v>1202</v>
      </c>
      <c r="O15" s="466" t="s">
        <v>1202</v>
      </c>
      <c r="P15" s="111">
        <v>34</v>
      </c>
      <c r="Q15" s="111">
        <v>112</v>
      </c>
      <c r="R15" s="111">
        <v>115</v>
      </c>
      <c r="S15" s="111">
        <v>388</v>
      </c>
      <c r="T15" s="111">
        <v>38</v>
      </c>
      <c r="U15" s="111">
        <v>75</v>
      </c>
      <c r="V15" s="111">
        <v>52</v>
      </c>
      <c r="W15" s="111">
        <v>122</v>
      </c>
      <c r="X15" s="111">
        <v>859</v>
      </c>
      <c r="Y15" s="111">
        <v>1128</v>
      </c>
      <c r="Z15" s="111">
        <v>30</v>
      </c>
      <c r="AA15" s="111">
        <v>42</v>
      </c>
      <c r="AB15" s="1409" t="s">
        <v>1202</v>
      </c>
    </row>
    <row r="16" spans="1:29" s="10" customFormat="1" ht="21.95" customHeight="1">
      <c r="A16" s="1406" t="s">
        <v>1203</v>
      </c>
      <c r="B16" s="1405">
        <v>1850</v>
      </c>
      <c r="C16" s="1405">
        <v>3073</v>
      </c>
      <c r="D16" s="1405">
        <v>11115</v>
      </c>
      <c r="E16" s="1405">
        <v>14041</v>
      </c>
      <c r="F16" s="1405">
        <v>12222</v>
      </c>
      <c r="G16" s="1405">
        <v>9501</v>
      </c>
      <c r="H16" s="1405">
        <v>1507</v>
      </c>
      <c r="I16" s="1405">
        <v>1746</v>
      </c>
      <c r="J16" s="1405">
        <v>6838</v>
      </c>
      <c r="K16" s="1405">
        <v>410</v>
      </c>
      <c r="L16" s="1405">
        <v>218</v>
      </c>
      <c r="M16" s="1405">
        <v>735</v>
      </c>
      <c r="N16" s="604" t="s">
        <v>1203</v>
      </c>
      <c r="O16" s="1406" t="s">
        <v>1203</v>
      </c>
      <c r="P16" s="1405">
        <v>30</v>
      </c>
      <c r="Q16" s="1405">
        <v>109</v>
      </c>
      <c r="R16" s="1405">
        <v>116</v>
      </c>
      <c r="S16" s="1405">
        <v>381</v>
      </c>
      <c r="T16" s="1405">
        <v>38</v>
      </c>
      <c r="U16" s="1405">
        <v>75</v>
      </c>
      <c r="V16" s="1405">
        <v>58</v>
      </c>
      <c r="W16" s="1405">
        <v>126</v>
      </c>
      <c r="X16" s="1405">
        <v>800</v>
      </c>
      <c r="Y16" s="1405">
        <v>1079</v>
      </c>
      <c r="Z16" s="1405">
        <v>24</v>
      </c>
      <c r="AA16" s="1405">
        <v>38</v>
      </c>
      <c r="AB16" s="604" t="s">
        <v>1203</v>
      </c>
    </row>
    <row r="17" spans="1:28" s="10" customFormat="1" ht="21.95" customHeight="1">
      <c r="A17" s="466" t="s">
        <v>1204</v>
      </c>
      <c r="B17" s="111">
        <v>1832</v>
      </c>
      <c r="C17" s="111">
        <v>2971</v>
      </c>
      <c r="D17" s="111">
        <v>11521</v>
      </c>
      <c r="E17" s="111">
        <v>14030</v>
      </c>
      <c r="F17" s="111">
        <v>12837</v>
      </c>
      <c r="G17" s="111">
        <v>9745</v>
      </c>
      <c r="H17" s="111">
        <v>1253</v>
      </c>
      <c r="I17" s="111">
        <v>1586</v>
      </c>
      <c r="J17" s="111">
        <v>6484</v>
      </c>
      <c r="K17" s="111">
        <v>404</v>
      </c>
      <c r="L17" s="111">
        <v>211</v>
      </c>
      <c r="M17" s="111">
        <v>690</v>
      </c>
      <c r="N17" s="1409" t="s">
        <v>1204</v>
      </c>
      <c r="O17" s="466" t="s">
        <v>1204</v>
      </c>
      <c r="P17" s="111">
        <v>30</v>
      </c>
      <c r="Q17" s="111">
        <v>108</v>
      </c>
      <c r="R17" s="111">
        <v>122</v>
      </c>
      <c r="S17" s="111">
        <v>382</v>
      </c>
      <c r="T17" s="111">
        <v>39</v>
      </c>
      <c r="U17" s="111">
        <v>75</v>
      </c>
      <c r="V17" s="111">
        <v>57</v>
      </c>
      <c r="W17" s="111">
        <v>126</v>
      </c>
      <c r="X17" s="111">
        <v>794</v>
      </c>
      <c r="Y17" s="111">
        <v>1008</v>
      </c>
      <c r="Z17" s="111">
        <v>78</v>
      </c>
      <c r="AA17" s="111">
        <v>38</v>
      </c>
      <c r="AB17" s="1409" t="s">
        <v>1204</v>
      </c>
    </row>
    <row r="18" spans="1:28" s="10" customFormat="1" ht="21.95" customHeight="1">
      <c r="A18" s="1406" t="s">
        <v>1205</v>
      </c>
      <c r="B18" s="1405">
        <v>1500</v>
      </c>
      <c r="C18" s="1405">
        <v>2532</v>
      </c>
      <c r="D18" s="1405">
        <v>9820</v>
      </c>
      <c r="E18" s="1405">
        <v>13047</v>
      </c>
      <c r="F18" s="1405">
        <v>13837</v>
      </c>
      <c r="G18" s="1405">
        <v>10042</v>
      </c>
      <c r="H18" s="1405">
        <v>976</v>
      </c>
      <c r="I18" s="1405">
        <v>1380</v>
      </c>
      <c r="J18" s="1405">
        <v>6423</v>
      </c>
      <c r="K18" s="1405">
        <v>388</v>
      </c>
      <c r="L18" s="1405">
        <v>191</v>
      </c>
      <c r="M18" s="1405">
        <v>597</v>
      </c>
      <c r="N18" s="604" t="s">
        <v>1205</v>
      </c>
      <c r="O18" s="1406" t="s">
        <v>1205</v>
      </c>
      <c r="P18" s="1405">
        <v>18</v>
      </c>
      <c r="Q18" s="1405">
        <v>60</v>
      </c>
      <c r="R18" s="1405">
        <v>121</v>
      </c>
      <c r="S18" s="1405">
        <v>380</v>
      </c>
      <c r="T18" s="1405">
        <v>38</v>
      </c>
      <c r="U18" s="1405">
        <v>78</v>
      </c>
      <c r="V18" s="1405">
        <v>58</v>
      </c>
      <c r="W18" s="1405">
        <v>132</v>
      </c>
      <c r="X18" s="1405">
        <v>1035</v>
      </c>
      <c r="Y18" s="1405">
        <v>965</v>
      </c>
      <c r="Z18" s="1405">
        <v>3</v>
      </c>
      <c r="AA18" s="1405">
        <v>4</v>
      </c>
      <c r="AB18" s="604" t="s">
        <v>1205</v>
      </c>
    </row>
    <row r="19" spans="1:28" s="10" customFormat="1" ht="21.95" customHeight="1">
      <c r="A19" s="466" t="s">
        <v>1210</v>
      </c>
      <c r="B19" s="111">
        <v>1754</v>
      </c>
      <c r="C19" s="111">
        <v>2556</v>
      </c>
      <c r="D19" s="111">
        <v>10810</v>
      </c>
      <c r="E19" s="111">
        <v>13416</v>
      </c>
      <c r="F19" s="111">
        <v>13975</v>
      </c>
      <c r="G19" s="111">
        <v>10047</v>
      </c>
      <c r="H19" s="111">
        <v>735</v>
      </c>
      <c r="I19" s="111">
        <v>1184</v>
      </c>
      <c r="J19" s="111">
        <v>5511</v>
      </c>
      <c r="K19" s="111">
        <v>377</v>
      </c>
      <c r="L19" s="111">
        <v>183</v>
      </c>
      <c r="M19" s="111">
        <v>536</v>
      </c>
      <c r="N19" s="1409" t="s">
        <v>1210</v>
      </c>
      <c r="O19" s="884" t="s">
        <v>1210</v>
      </c>
      <c r="P19" s="409">
        <v>17</v>
      </c>
      <c r="Q19" s="409">
        <v>55</v>
      </c>
      <c r="R19" s="409">
        <v>115</v>
      </c>
      <c r="S19" s="409">
        <v>333</v>
      </c>
      <c r="T19" s="409">
        <v>43</v>
      </c>
      <c r="U19" s="409">
        <v>78</v>
      </c>
      <c r="V19" s="409">
        <v>58</v>
      </c>
      <c r="W19" s="409">
        <v>130</v>
      </c>
      <c r="X19" s="410">
        <v>838</v>
      </c>
      <c r="Y19" s="410">
        <v>993</v>
      </c>
      <c r="Z19" s="409">
        <v>18</v>
      </c>
      <c r="AA19" s="409">
        <v>26</v>
      </c>
      <c r="AB19" s="485" t="s">
        <v>1210</v>
      </c>
    </row>
    <row r="20" spans="1:28" s="10" customFormat="1" ht="21.95" customHeight="1">
      <c r="A20" s="1406" t="s">
        <v>1219</v>
      </c>
      <c r="B20" s="1405">
        <v>1512</v>
      </c>
      <c r="C20" s="1405">
        <v>2238</v>
      </c>
      <c r="D20" s="1405">
        <v>10841</v>
      </c>
      <c r="E20" s="1405">
        <v>13382</v>
      </c>
      <c r="F20" s="1405">
        <v>14965</v>
      </c>
      <c r="G20" s="1405">
        <v>10522</v>
      </c>
      <c r="H20" s="1405">
        <v>737</v>
      </c>
      <c r="I20" s="1405">
        <v>988</v>
      </c>
      <c r="J20" s="1405">
        <v>5770</v>
      </c>
      <c r="K20" s="1405">
        <v>371</v>
      </c>
      <c r="L20" s="1405">
        <v>189</v>
      </c>
      <c r="M20" s="1405">
        <v>520</v>
      </c>
      <c r="N20" s="604" t="s">
        <v>1219</v>
      </c>
      <c r="O20" s="1406" t="s">
        <v>1219</v>
      </c>
      <c r="P20" s="1405">
        <v>19</v>
      </c>
      <c r="Q20" s="1405">
        <v>60</v>
      </c>
      <c r="R20" s="1405">
        <v>117</v>
      </c>
      <c r="S20" s="1405">
        <v>340</v>
      </c>
      <c r="T20" s="1405">
        <v>39</v>
      </c>
      <c r="U20" s="1405">
        <v>76</v>
      </c>
      <c r="V20" s="530">
        <v>58</v>
      </c>
      <c r="W20" s="530">
        <v>129</v>
      </c>
      <c r="X20" s="1405">
        <v>879</v>
      </c>
      <c r="Y20" s="1405">
        <v>1034</v>
      </c>
      <c r="Z20" s="1405">
        <v>18</v>
      </c>
      <c r="AA20" s="1405">
        <v>25</v>
      </c>
      <c r="AB20" s="604" t="s">
        <v>1219</v>
      </c>
    </row>
    <row r="21" spans="1:28" s="11" customFormat="1" ht="21.95" customHeight="1">
      <c r="A21" s="884" t="s">
        <v>916</v>
      </c>
      <c r="B21" s="409">
        <v>1507</v>
      </c>
      <c r="C21" s="409">
        <v>2270</v>
      </c>
      <c r="D21" s="409">
        <v>9662</v>
      </c>
      <c r="E21" s="409">
        <v>12474</v>
      </c>
      <c r="F21" s="409">
        <v>17762</v>
      </c>
      <c r="G21" s="409">
        <v>11386</v>
      </c>
      <c r="H21" s="409">
        <v>844</v>
      </c>
      <c r="I21" s="409">
        <v>958</v>
      </c>
      <c r="J21" s="409">
        <v>4984</v>
      </c>
      <c r="K21" s="409">
        <v>320</v>
      </c>
      <c r="L21" s="410">
        <v>228</v>
      </c>
      <c r="M21" s="410">
        <v>577</v>
      </c>
      <c r="N21" s="485" t="s">
        <v>916</v>
      </c>
      <c r="O21" s="884" t="s">
        <v>916</v>
      </c>
      <c r="P21" s="409">
        <v>21</v>
      </c>
      <c r="Q21" s="409">
        <v>60</v>
      </c>
      <c r="R21" s="410">
        <v>72</v>
      </c>
      <c r="S21" s="410">
        <v>179</v>
      </c>
      <c r="T21" s="409">
        <v>40</v>
      </c>
      <c r="U21" s="409">
        <v>72</v>
      </c>
      <c r="V21" s="410">
        <v>59</v>
      </c>
      <c r="W21" s="410">
        <v>133</v>
      </c>
      <c r="X21" s="409">
        <v>832</v>
      </c>
      <c r="Y21" s="409">
        <v>1089</v>
      </c>
      <c r="Z21" s="410">
        <v>15</v>
      </c>
      <c r="AA21" s="410">
        <v>22</v>
      </c>
      <c r="AB21" s="485" t="s">
        <v>916</v>
      </c>
    </row>
    <row r="22" spans="1:28" s="11" customFormat="1" ht="21.95" customHeight="1">
      <c r="A22" s="1406" t="s">
        <v>230</v>
      </c>
      <c r="B22" s="1405">
        <v>1895</v>
      </c>
      <c r="C22" s="1405">
        <v>2633</v>
      </c>
      <c r="D22" s="1405">
        <v>11613</v>
      </c>
      <c r="E22" s="1405">
        <v>13585</v>
      </c>
      <c r="F22" s="1405">
        <v>17809</v>
      </c>
      <c r="G22" s="1405">
        <v>11654</v>
      </c>
      <c r="H22" s="1405">
        <v>849</v>
      </c>
      <c r="I22" s="1405">
        <v>975</v>
      </c>
      <c r="J22" s="1405">
        <v>5232</v>
      </c>
      <c r="K22" s="1405">
        <v>312</v>
      </c>
      <c r="L22" s="1405">
        <v>228</v>
      </c>
      <c r="M22" s="1405">
        <v>578</v>
      </c>
      <c r="N22" s="604" t="s">
        <v>230</v>
      </c>
      <c r="O22" s="1406" t="s">
        <v>230</v>
      </c>
      <c r="P22" s="1405">
        <v>18</v>
      </c>
      <c r="Q22" s="1405">
        <v>54</v>
      </c>
      <c r="R22" s="1405">
        <v>61</v>
      </c>
      <c r="S22" s="1405">
        <v>175</v>
      </c>
      <c r="T22" s="1405">
        <v>40</v>
      </c>
      <c r="U22" s="1405">
        <v>74</v>
      </c>
      <c r="V22" s="1405">
        <v>59</v>
      </c>
      <c r="W22" s="1405">
        <v>134</v>
      </c>
      <c r="X22" s="1405">
        <v>842</v>
      </c>
      <c r="Y22" s="1405">
        <v>1039</v>
      </c>
      <c r="Z22" s="1405">
        <v>12</v>
      </c>
      <c r="AA22" s="1405">
        <v>18</v>
      </c>
      <c r="AB22" s="604" t="s">
        <v>230</v>
      </c>
    </row>
    <row r="23" spans="1:28" s="11" customFormat="1" ht="21.95" customHeight="1">
      <c r="A23" s="884" t="s">
        <v>220</v>
      </c>
      <c r="B23" s="409">
        <v>1709</v>
      </c>
      <c r="C23" s="409">
        <v>2431</v>
      </c>
      <c r="D23" s="409">
        <v>12207</v>
      </c>
      <c r="E23" s="409">
        <v>13993</v>
      </c>
      <c r="F23" s="409">
        <v>18059</v>
      </c>
      <c r="G23" s="409">
        <v>11631</v>
      </c>
      <c r="H23" s="409">
        <v>901</v>
      </c>
      <c r="I23" s="409">
        <v>930</v>
      </c>
      <c r="J23" s="409">
        <v>4491</v>
      </c>
      <c r="K23" s="409">
        <v>290</v>
      </c>
      <c r="L23" s="409">
        <v>222</v>
      </c>
      <c r="M23" s="409">
        <v>608</v>
      </c>
      <c r="N23" s="485" t="s">
        <v>220</v>
      </c>
      <c r="O23" s="884" t="s">
        <v>220</v>
      </c>
      <c r="P23" s="409">
        <v>20</v>
      </c>
      <c r="Q23" s="409">
        <v>57</v>
      </c>
      <c r="R23" s="409">
        <v>71</v>
      </c>
      <c r="S23" s="409">
        <v>191</v>
      </c>
      <c r="T23" s="409">
        <v>55</v>
      </c>
      <c r="U23" s="409">
        <v>95</v>
      </c>
      <c r="V23" s="409">
        <v>68</v>
      </c>
      <c r="W23" s="409">
        <v>136</v>
      </c>
      <c r="X23" s="409">
        <v>916</v>
      </c>
      <c r="Y23" s="409">
        <v>1029</v>
      </c>
      <c r="Z23" s="409">
        <v>20</v>
      </c>
      <c r="AA23" s="409">
        <v>24</v>
      </c>
      <c r="AB23" s="485" t="s">
        <v>220</v>
      </c>
    </row>
    <row r="24" spans="1:28" s="10" customFormat="1" ht="18.75" customHeight="1">
      <c r="A24" s="1406" t="s">
        <v>489</v>
      </c>
      <c r="B24" s="1405">
        <v>2133</v>
      </c>
      <c r="C24" s="1405">
        <v>2750</v>
      </c>
      <c r="D24" s="530">
        <v>12792</v>
      </c>
      <c r="E24" s="530">
        <v>13951</v>
      </c>
      <c r="F24" s="530">
        <v>18617</v>
      </c>
      <c r="G24" s="530">
        <v>11788</v>
      </c>
      <c r="H24" s="530">
        <v>972</v>
      </c>
      <c r="I24" s="530">
        <v>923</v>
      </c>
      <c r="J24" s="530">
        <v>4671</v>
      </c>
      <c r="K24" s="530">
        <v>287</v>
      </c>
      <c r="L24" s="530">
        <v>246</v>
      </c>
      <c r="M24" s="530">
        <v>623</v>
      </c>
      <c r="N24" s="682" t="s">
        <v>489</v>
      </c>
      <c r="O24" s="605" t="s">
        <v>489</v>
      </c>
      <c r="P24" s="530">
        <v>19</v>
      </c>
      <c r="Q24" s="530">
        <v>68</v>
      </c>
      <c r="R24" s="530">
        <v>80</v>
      </c>
      <c r="S24" s="530">
        <v>205</v>
      </c>
      <c r="T24" s="530">
        <v>79</v>
      </c>
      <c r="U24" s="530">
        <v>121</v>
      </c>
      <c r="V24" s="530">
        <v>61</v>
      </c>
      <c r="W24" s="530">
        <v>140</v>
      </c>
      <c r="X24" s="530">
        <v>1511</v>
      </c>
      <c r="Y24" s="530">
        <v>1751</v>
      </c>
      <c r="Z24" s="530">
        <v>14</v>
      </c>
      <c r="AA24" s="530">
        <v>24</v>
      </c>
      <c r="AB24" s="682" t="s">
        <v>489</v>
      </c>
    </row>
    <row r="25" spans="1:28" s="10" customFormat="1" ht="18.75" customHeight="1">
      <c r="A25" s="884" t="s">
        <v>1580</v>
      </c>
      <c r="B25" s="409">
        <v>2332</v>
      </c>
      <c r="C25" s="409">
        <v>2812</v>
      </c>
      <c r="D25" s="482">
        <v>12798</v>
      </c>
      <c r="E25" s="482">
        <v>13789</v>
      </c>
      <c r="F25" s="482">
        <v>18759</v>
      </c>
      <c r="G25" s="482">
        <v>11886</v>
      </c>
      <c r="H25" s="482">
        <v>995</v>
      </c>
      <c r="I25" s="482">
        <v>885</v>
      </c>
      <c r="J25" s="482">
        <v>4603</v>
      </c>
      <c r="K25" s="482">
        <v>279</v>
      </c>
      <c r="L25" s="482">
        <v>262</v>
      </c>
      <c r="M25" s="482">
        <v>682</v>
      </c>
      <c r="N25" s="736" t="s">
        <v>1580</v>
      </c>
      <c r="O25" s="480" t="s">
        <v>1580</v>
      </c>
      <c r="P25" s="482">
        <v>26</v>
      </c>
      <c r="Q25" s="482">
        <v>91</v>
      </c>
      <c r="R25" s="482">
        <v>80</v>
      </c>
      <c r="S25" s="482">
        <v>213</v>
      </c>
      <c r="T25" s="482">
        <v>85</v>
      </c>
      <c r="U25" s="482">
        <v>126</v>
      </c>
      <c r="V25" s="482">
        <v>61</v>
      </c>
      <c r="W25" s="482">
        <v>143</v>
      </c>
      <c r="X25" s="482">
        <v>1441</v>
      </c>
      <c r="Y25" s="482">
        <v>1878</v>
      </c>
      <c r="Z25" s="482">
        <v>16</v>
      </c>
      <c r="AA25" s="482">
        <v>25</v>
      </c>
      <c r="AB25" s="736" t="s">
        <v>1580</v>
      </c>
    </row>
    <row r="26" spans="1:28" s="10" customFormat="1" ht="18.75" customHeight="1">
      <c r="A26" s="1406" t="s">
        <v>1809</v>
      </c>
      <c r="B26" s="1405">
        <v>2158</v>
      </c>
      <c r="C26" s="1405">
        <v>2602</v>
      </c>
      <c r="D26" s="530">
        <v>12897</v>
      </c>
      <c r="E26" s="530">
        <v>13863</v>
      </c>
      <c r="F26" s="530">
        <v>18778</v>
      </c>
      <c r="G26" s="530">
        <v>11763</v>
      </c>
      <c r="H26" s="530">
        <v>1255</v>
      </c>
      <c r="I26" s="530">
        <v>1029</v>
      </c>
      <c r="J26" s="530">
        <v>4469</v>
      </c>
      <c r="K26" s="530">
        <v>270</v>
      </c>
      <c r="L26" s="530">
        <v>294</v>
      </c>
      <c r="M26" s="530">
        <v>728</v>
      </c>
      <c r="N26" s="682" t="s">
        <v>1809</v>
      </c>
      <c r="O26" s="605" t="s">
        <v>1809</v>
      </c>
      <c r="P26" s="530">
        <v>25</v>
      </c>
      <c r="Q26" s="530">
        <v>87</v>
      </c>
      <c r="R26" s="530">
        <v>93</v>
      </c>
      <c r="S26" s="530">
        <v>222</v>
      </c>
      <c r="T26" s="530">
        <v>79</v>
      </c>
      <c r="U26" s="530">
        <v>119</v>
      </c>
      <c r="V26" s="530">
        <v>63</v>
      </c>
      <c r="W26" s="530">
        <v>144</v>
      </c>
      <c r="X26" s="530">
        <v>1370</v>
      </c>
      <c r="Y26" s="530">
        <v>1683</v>
      </c>
      <c r="Z26" s="530">
        <v>20</v>
      </c>
      <c r="AA26" s="530">
        <v>31</v>
      </c>
      <c r="AB26" s="682" t="s">
        <v>1809</v>
      </c>
    </row>
    <row r="27" spans="1:28" s="10" customFormat="1" ht="18.75" customHeight="1">
      <c r="A27" s="884" t="s">
        <v>2226</v>
      </c>
      <c r="B27" s="409">
        <v>2326</v>
      </c>
      <c r="C27" s="409">
        <v>2598</v>
      </c>
      <c r="D27" s="482">
        <v>13023</v>
      </c>
      <c r="E27" s="482">
        <v>13666</v>
      </c>
      <c r="F27" s="482">
        <v>19007</v>
      </c>
      <c r="G27" s="482">
        <v>11837</v>
      </c>
      <c r="H27" s="482">
        <v>1303</v>
      </c>
      <c r="I27" s="482">
        <v>1062</v>
      </c>
      <c r="J27" s="482">
        <v>4508</v>
      </c>
      <c r="K27" s="482">
        <v>265</v>
      </c>
      <c r="L27" s="482">
        <v>296</v>
      </c>
      <c r="M27" s="482">
        <v>724</v>
      </c>
      <c r="N27" s="736" t="s">
        <v>2226</v>
      </c>
      <c r="O27" s="480" t="s">
        <v>2226</v>
      </c>
      <c r="P27" s="482">
        <v>32</v>
      </c>
      <c r="Q27" s="482">
        <v>97</v>
      </c>
      <c r="R27" s="482">
        <v>157</v>
      </c>
      <c r="S27" s="482">
        <v>308</v>
      </c>
      <c r="T27" s="482">
        <v>85</v>
      </c>
      <c r="U27" s="482">
        <v>124</v>
      </c>
      <c r="V27" s="482">
        <v>67</v>
      </c>
      <c r="W27" s="482">
        <v>148</v>
      </c>
      <c r="X27" s="482">
        <v>1338</v>
      </c>
      <c r="Y27" s="482">
        <v>1645</v>
      </c>
      <c r="Z27" s="482">
        <v>19</v>
      </c>
      <c r="AA27" s="482">
        <v>28</v>
      </c>
      <c r="AB27" s="736" t="s">
        <v>2226</v>
      </c>
    </row>
    <row r="28" spans="1:28" s="10" customFormat="1" ht="18.75" customHeight="1">
      <c r="A28" s="1501" t="s">
        <v>2376</v>
      </c>
      <c r="B28" s="1500">
        <v>2328</v>
      </c>
      <c r="C28" s="1500">
        <v>2583</v>
      </c>
      <c r="D28" s="530">
        <v>13190</v>
      </c>
      <c r="E28" s="530">
        <v>13665</v>
      </c>
      <c r="F28" s="530">
        <v>19192</v>
      </c>
      <c r="G28" s="530">
        <v>11961</v>
      </c>
      <c r="H28" s="530">
        <v>1348</v>
      </c>
      <c r="I28" s="530">
        <v>1079</v>
      </c>
      <c r="J28" s="530">
        <v>4434</v>
      </c>
      <c r="K28" s="530">
        <v>257</v>
      </c>
      <c r="L28" s="530">
        <v>359</v>
      </c>
      <c r="M28" s="530">
        <v>803</v>
      </c>
      <c r="N28" s="604" t="s">
        <v>2376</v>
      </c>
      <c r="O28" s="1501" t="s">
        <v>2376</v>
      </c>
      <c r="P28" s="530">
        <v>33</v>
      </c>
      <c r="Q28" s="530">
        <v>96</v>
      </c>
      <c r="R28" s="530">
        <v>167</v>
      </c>
      <c r="S28" s="530">
        <v>359</v>
      </c>
      <c r="T28" s="530">
        <v>94</v>
      </c>
      <c r="U28" s="530">
        <v>127</v>
      </c>
      <c r="V28" s="530">
        <v>66</v>
      </c>
      <c r="W28" s="530">
        <v>149</v>
      </c>
      <c r="X28" s="530">
        <v>1350</v>
      </c>
      <c r="Y28" s="530">
        <v>1662</v>
      </c>
      <c r="Z28" s="530">
        <v>30</v>
      </c>
      <c r="AA28" s="530">
        <v>33</v>
      </c>
      <c r="AB28" s="604" t="s">
        <v>2376</v>
      </c>
    </row>
    <row r="29" spans="1:28" s="10" customFormat="1" ht="18.75" customHeight="1" thickBot="1">
      <c r="A29" s="858" t="s">
        <v>2608</v>
      </c>
      <c r="B29" s="1334">
        <v>2289</v>
      </c>
      <c r="C29" s="1334">
        <v>2516</v>
      </c>
      <c r="D29" s="848">
        <v>13483</v>
      </c>
      <c r="E29" s="848">
        <v>13814</v>
      </c>
      <c r="F29" s="848">
        <v>18938</v>
      </c>
      <c r="G29" s="848">
        <v>11794</v>
      </c>
      <c r="H29" s="848">
        <v>1348</v>
      </c>
      <c r="I29" s="848">
        <v>1099</v>
      </c>
      <c r="J29" s="1334" t="s">
        <v>1257</v>
      </c>
      <c r="K29" s="1334" t="s">
        <v>1257</v>
      </c>
      <c r="L29" s="1334" t="s">
        <v>1257</v>
      </c>
      <c r="M29" s="1334" t="s">
        <v>1257</v>
      </c>
      <c r="N29" s="1445" t="s">
        <v>2608</v>
      </c>
      <c r="O29" s="858" t="s">
        <v>2608</v>
      </c>
      <c r="P29" s="1334" t="s">
        <v>1257</v>
      </c>
      <c r="Q29" s="1334" t="s">
        <v>1257</v>
      </c>
      <c r="R29" s="1334" t="s">
        <v>1257</v>
      </c>
      <c r="S29" s="1334" t="s">
        <v>1257</v>
      </c>
      <c r="T29" s="1334" t="s">
        <v>1257</v>
      </c>
      <c r="U29" s="1334" t="s">
        <v>1257</v>
      </c>
      <c r="V29" s="1334" t="s">
        <v>1257</v>
      </c>
      <c r="W29" s="1334" t="s">
        <v>1257</v>
      </c>
      <c r="X29" s="848">
        <v>1361</v>
      </c>
      <c r="Y29" s="848">
        <v>1675</v>
      </c>
      <c r="Z29" s="1334" t="s">
        <v>1257</v>
      </c>
      <c r="AA29" s="1334" t="s">
        <v>1257</v>
      </c>
      <c r="AB29" s="1445" t="s">
        <v>2608</v>
      </c>
    </row>
    <row r="30" spans="1:28" ht="12.75" customHeight="1">
      <c r="A30" s="1979" t="s">
        <v>556</v>
      </c>
      <c r="B30" s="1979"/>
      <c r="C30" s="1979"/>
      <c r="D30" s="1979"/>
      <c r="E30" s="1979"/>
      <c r="F30" s="1970"/>
      <c r="G30" s="1970"/>
      <c r="H30" s="1970" t="s">
        <v>2873</v>
      </c>
      <c r="I30" s="1970"/>
      <c r="J30" s="1970"/>
      <c r="K30" s="1970"/>
      <c r="L30" s="1970"/>
      <c r="M30" s="1970"/>
      <c r="O30" s="1971" t="s">
        <v>558</v>
      </c>
      <c r="P30" s="1971"/>
      <c r="Q30" s="1971"/>
      <c r="R30" s="1971"/>
      <c r="S30" s="1971"/>
      <c r="T30" s="1971"/>
      <c r="U30" s="1971"/>
      <c r="V30" s="1971" t="s">
        <v>2873</v>
      </c>
      <c r="W30" s="1971"/>
      <c r="X30" s="1971"/>
      <c r="Y30" s="1971"/>
      <c r="Z30" s="1971"/>
      <c r="AA30" s="1971"/>
    </row>
    <row r="31" spans="1:28">
      <c r="A31" s="7"/>
      <c r="B31" s="7"/>
      <c r="C31" s="7"/>
      <c r="D31" s="7"/>
      <c r="E31" s="7"/>
      <c r="U31" s="115"/>
    </row>
    <row r="32" spans="1:28" hidden="1"/>
    <row r="33" spans="24:25" hidden="1">
      <c r="X33" s="2">
        <v>7501011</v>
      </c>
      <c r="Y33" s="2">
        <f>X33*180/1000000</f>
        <v>1350.1819800000001</v>
      </c>
    </row>
    <row r="34" spans="24:25" hidden="1">
      <c r="X34" s="2">
        <v>7558934</v>
      </c>
      <c r="Y34" s="2">
        <f>X34*180/1000000</f>
        <v>1360.6081200000001</v>
      </c>
    </row>
    <row r="35" spans="24:25" hidden="1"/>
    <row r="36" spans="24:25" hidden="1"/>
    <row r="37" spans="24:25" hidden="1"/>
    <row r="38" spans="24:25" hidden="1"/>
    <row r="39" spans="24:25" hidden="1"/>
  </sheetData>
  <mergeCells count="52">
    <mergeCell ref="A30:E30"/>
    <mergeCell ref="O30:U30"/>
    <mergeCell ref="N3:N5"/>
    <mergeCell ref="L3:M3"/>
    <mergeCell ref="R3:S3"/>
    <mergeCell ref="O3:O5"/>
    <mergeCell ref="A3:A5"/>
    <mergeCell ref="P3:Q3"/>
    <mergeCell ref="B4:B5"/>
    <mergeCell ref="H4:H5"/>
    <mergeCell ref="C4:C5"/>
    <mergeCell ref="D4:D5"/>
    <mergeCell ref="E4:E5"/>
    <mergeCell ref="F4:F5"/>
    <mergeCell ref="J4:J5"/>
    <mergeCell ref="G4:G5"/>
    <mergeCell ref="B3:C3"/>
    <mergeCell ref="D3:E3"/>
    <mergeCell ref="H3:I3"/>
    <mergeCell ref="J3:K3"/>
    <mergeCell ref="M1:N1"/>
    <mergeCell ref="A1:G1"/>
    <mergeCell ref="F3:G3"/>
    <mergeCell ref="F30:G30"/>
    <mergeCell ref="K30:M30"/>
    <mergeCell ref="H30:J30"/>
    <mergeCell ref="V30:AA30"/>
    <mergeCell ref="AA1:AB1"/>
    <mergeCell ref="O1:U1"/>
    <mergeCell ref="V1:Y1"/>
    <mergeCell ref="AB3:AB5"/>
    <mergeCell ref="T3:U3"/>
    <mergeCell ref="V3:W3"/>
    <mergeCell ref="X3:Y3"/>
    <mergeCell ref="Z3:AA3"/>
    <mergeCell ref="W4:W5"/>
    <mergeCell ref="H1:K1"/>
    <mergeCell ref="AA4:AA5"/>
    <mergeCell ref="Q4:Q5"/>
    <mergeCell ref="I4:I5"/>
    <mergeCell ref="X4:X5"/>
    <mergeCell ref="Y4:Y5"/>
    <mergeCell ref="Z4:Z5"/>
    <mergeCell ref="V4:V5"/>
    <mergeCell ref="R4:R5"/>
    <mergeCell ref="S4:S5"/>
    <mergeCell ref="T4:T5"/>
    <mergeCell ref="U4:U5"/>
    <mergeCell ref="K4:K5"/>
    <mergeCell ref="L4:L5"/>
    <mergeCell ref="M4:M5"/>
    <mergeCell ref="P4:P5"/>
  </mergeCells>
  <phoneticPr fontId="3" type="noConversion"/>
  <pageMargins left="0.62992125984252001" right="0.511811023622047" top="0.511811023622047" bottom="0.511811023622047" header="0" footer="0.74803149606299202"/>
  <pageSetup paperSize="512" firstPageNumber="36" orientation="portrait" useFirstPageNumber="1" r:id="rId1"/>
  <headerFooter alignWithMargins="0">
    <oddFooter>&amp;C&amp;"Times New Roman,Regular"&amp;8&amp;P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Q72"/>
  <sheetViews>
    <sheetView workbookViewId="0">
      <pane xSplit="2" ySplit="4" topLeftCell="C46" activePane="bottomRight" state="frozen"/>
      <selection pane="topRight" activeCell="C1" sqref="C1"/>
      <selection pane="bottomLeft" activeCell="A5" sqref="A5"/>
      <selection pane="bottomRight" activeCell="L74" sqref="L74:L77"/>
    </sheetView>
  </sheetViews>
  <sheetFormatPr defaultColWidth="5.85546875" defaultRowHeight="9"/>
  <cols>
    <col min="1" max="1" width="7.5703125" style="420" customWidth="1"/>
    <col min="2" max="2" width="3.5703125" style="420" customWidth="1"/>
    <col min="3" max="3" width="10.42578125" style="420" customWidth="1"/>
    <col min="4" max="4" width="11.140625" style="420" customWidth="1"/>
    <col min="5" max="6" width="10.5703125" style="420" customWidth="1"/>
    <col min="7" max="7" width="12.28515625" style="420" customWidth="1"/>
    <col min="8" max="8" width="9" style="420" customWidth="1"/>
    <col min="9" max="9" width="8.140625" style="420" customWidth="1"/>
    <col min="10" max="10" width="2.5703125" style="420" customWidth="1"/>
    <col min="11" max="11" width="10" style="420" customWidth="1"/>
    <col min="12" max="12" width="9.7109375" style="420" customWidth="1"/>
    <col min="13" max="13" width="10.42578125" style="420" customWidth="1"/>
    <col min="14" max="14" width="8.85546875" style="420" customWidth="1"/>
    <col min="15" max="15" width="9" style="420" customWidth="1"/>
    <col min="16" max="16" width="9.28515625" style="420" customWidth="1"/>
    <col min="17" max="17" width="10" style="420" customWidth="1"/>
    <col min="18" max="16384" width="5.85546875" style="420"/>
  </cols>
  <sheetData>
    <row r="1" spans="1:17" s="320" customFormat="1" ht="14.25" customHeight="1">
      <c r="D1" s="1842" t="s">
        <v>316</v>
      </c>
      <c r="E1" s="1842"/>
      <c r="F1" s="1842"/>
      <c r="G1" s="1842"/>
      <c r="H1" s="1842"/>
      <c r="I1" s="861" t="s">
        <v>287</v>
      </c>
      <c r="J1" s="861"/>
      <c r="K1" s="861"/>
      <c r="L1" s="861"/>
      <c r="M1" s="862"/>
      <c r="N1" s="862"/>
      <c r="O1" s="862"/>
      <c r="P1" s="1842" t="s">
        <v>2443</v>
      </c>
      <c r="Q1" s="1842"/>
    </row>
    <row r="2" spans="1:17" s="323" customFormat="1" ht="12.75" customHeight="1">
      <c r="H2" s="863" t="s">
        <v>404</v>
      </c>
      <c r="I2" s="1987" t="s">
        <v>403</v>
      </c>
      <c r="J2" s="1987"/>
      <c r="K2" s="1987"/>
      <c r="L2" s="1987"/>
    </row>
    <row r="3" spans="1:17" s="326" customFormat="1" ht="26.25" customHeight="1">
      <c r="A3" s="1980" t="s">
        <v>1132</v>
      </c>
      <c r="B3" s="1981"/>
      <c r="C3" s="1608" t="s">
        <v>1226</v>
      </c>
      <c r="D3" s="1608" t="s">
        <v>1227</v>
      </c>
      <c r="E3" s="1609" t="s">
        <v>1147</v>
      </c>
      <c r="F3" s="1609" t="s">
        <v>1228</v>
      </c>
      <c r="G3" s="1609" t="s">
        <v>1148</v>
      </c>
      <c r="H3" s="1608" t="s">
        <v>582</v>
      </c>
      <c r="I3" s="1691" t="s">
        <v>581</v>
      </c>
      <c r="J3" s="1989"/>
      <c r="K3" s="1609" t="s">
        <v>1265</v>
      </c>
      <c r="L3" s="1609" t="s">
        <v>1229</v>
      </c>
      <c r="M3" s="1609" t="s">
        <v>1150</v>
      </c>
      <c r="N3" s="1608" t="s">
        <v>580</v>
      </c>
      <c r="O3" s="1608" t="s">
        <v>1230</v>
      </c>
      <c r="P3" s="1609" t="s">
        <v>1151</v>
      </c>
      <c r="Q3" s="1988" t="s">
        <v>1132</v>
      </c>
    </row>
    <row r="4" spans="1:17" s="326" customFormat="1" ht="25.5" customHeight="1">
      <c r="A4" s="1982"/>
      <c r="B4" s="1983"/>
      <c r="C4" s="129" t="s">
        <v>1998</v>
      </c>
      <c r="D4" s="129" t="s">
        <v>1997</v>
      </c>
      <c r="E4" s="129" t="s">
        <v>1999</v>
      </c>
      <c r="F4" s="129" t="s">
        <v>1999</v>
      </c>
      <c r="G4" s="129" t="s">
        <v>2000</v>
      </c>
      <c r="H4" s="129" t="s">
        <v>2001</v>
      </c>
      <c r="I4" s="1691" t="s">
        <v>2004</v>
      </c>
      <c r="J4" s="1989"/>
      <c r="K4" s="129" t="s">
        <v>2001</v>
      </c>
      <c r="L4" s="129" t="s">
        <v>2001</v>
      </c>
      <c r="M4" s="129" t="s">
        <v>2003</v>
      </c>
      <c r="N4" s="864" t="s">
        <v>563</v>
      </c>
      <c r="O4" s="129" t="s">
        <v>2001</v>
      </c>
      <c r="P4" s="129" t="s">
        <v>2002</v>
      </c>
      <c r="Q4" s="1916"/>
    </row>
    <row r="5" spans="1:17" s="317" customFormat="1" ht="10.5" hidden="1" customHeight="1">
      <c r="A5" s="543" t="s">
        <v>1195</v>
      </c>
      <c r="B5" s="543"/>
      <c r="C5" s="534">
        <v>273</v>
      </c>
      <c r="D5" s="534">
        <v>16984</v>
      </c>
      <c r="E5" s="534">
        <v>39733</v>
      </c>
      <c r="F5" s="534">
        <v>43062</v>
      </c>
      <c r="G5" s="534">
        <v>173790</v>
      </c>
      <c r="H5" s="534">
        <v>29704</v>
      </c>
      <c r="I5" s="534">
        <v>69234</v>
      </c>
      <c r="J5" s="534"/>
      <c r="K5" s="534">
        <v>269566</v>
      </c>
      <c r="L5" s="534">
        <v>2142301</v>
      </c>
      <c r="M5" s="534">
        <v>8852</v>
      </c>
      <c r="N5" s="534">
        <v>811</v>
      </c>
      <c r="O5" s="534">
        <v>69914</v>
      </c>
      <c r="P5" s="534">
        <v>11817</v>
      </c>
      <c r="Q5" s="544" t="s">
        <v>1195</v>
      </c>
    </row>
    <row r="6" spans="1:17" s="317" customFormat="1" ht="10.5" customHeight="1">
      <c r="A6" s="315" t="s">
        <v>1196</v>
      </c>
      <c r="B6" s="315"/>
      <c r="C6" s="42">
        <v>277</v>
      </c>
      <c r="D6" s="42">
        <v>10279</v>
      </c>
      <c r="E6" s="42">
        <v>41889</v>
      </c>
      <c r="F6" s="42">
        <v>40479</v>
      </c>
      <c r="G6" s="42">
        <v>162220</v>
      </c>
      <c r="H6" s="42">
        <v>30569</v>
      </c>
      <c r="I6" s="42">
        <v>60591</v>
      </c>
      <c r="J6" s="42"/>
      <c r="K6" s="42">
        <v>184108</v>
      </c>
      <c r="L6" s="42">
        <v>2248042</v>
      </c>
      <c r="M6" s="42">
        <v>9327</v>
      </c>
      <c r="N6" s="42">
        <v>1865</v>
      </c>
      <c r="O6" s="42">
        <v>47658</v>
      </c>
      <c r="P6" s="42">
        <v>12461</v>
      </c>
      <c r="Q6" s="385" t="s">
        <v>1196</v>
      </c>
    </row>
    <row r="7" spans="1:17" s="317" customFormat="1" ht="10.5" customHeight="1">
      <c r="A7" s="543" t="s">
        <v>1197</v>
      </c>
      <c r="B7" s="543"/>
      <c r="C7" s="534">
        <v>279</v>
      </c>
      <c r="D7" s="534">
        <v>10904</v>
      </c>
      <c r="E7" s="534">
        <v>38018</v>
      </c>
      <c r="F7" s="534">
        <v>27675</v>
      </c>
      <c r="G7" s="534">
        <v>186010</v>
      </c>
      <c r="H7" s="534">
        <v>26033</v>
      </c>
      <c r="I7" s="534">
        <v>61526</v>
      </c>
      <c r="J7" s="534"/>
      <c r="K7" s="534">
        <v>135094</v>
      </c>
      <c r="L7" s="534">
        <v>1772661</v>
      </c>
      <c r="M7" s="534">
        <v>8937</v>
      </c>
      <c r="N7" s="534">
        <v>1642</v>
      </c>
      <c r="O7" s="534">
        <v>32277</v>
      </c>
      <c r="P7" s="534">
        <v>11656</v>
      </c>
      <c r="Q7" s="544" t="s">
        <v>1197</v>
      </c>
    </row>
    <row r="8" spans="1:17" s="317" customFormat="1" ht="10.5" customHeight="1">
      <c r="A8" s="315" t="s">
        <v>1198</v>
      </c>
      <c r="B8" s="315"/>
      <c r="C8" s="42">
        <v>294</v>
      </c>
      <c r="D8" s="42">
        <v>10255</v>
      </c>
      <c r="E8" s="42">
        <v>38241</v>
      </c>
      <c r="F8" s="42">
        <v>7672</v>
      </c>
      <c r="G8" s="42">
        <v>198890</v>
      </c>
      <c r="H8" s="42">
        <v>26955</v>
      </c>
      <c r="I8" s="42">
        <v>63068</v>
      </c>
      <c r="J8" s="42"/>
      <c r="K8" s="42">
        <v>163792</v>
      </c>
      <c r="L8" s="42">
        <v>2030672</v>
      </c>
      <c r="M8" s="42">
        <v>12433</v>
      </c>
      <c r="N8" s="42">
        <v>1276</v>
      </c>
      <c r="O8" s="42">
        <v>33178</v>
      </c>
      <c r="P8" s="42">
        <v>11917</v>
      </c>
      <c r="Q8" s="385" t="s">
        <v>1198</v>
      </c>
    </row>
    <row r="9" spans="1:17" s="317" customFormat="1" ht="10.5" customHeight="1">
      <c r="A9" s="543" t="s">
        <v>1199</v>
      </c>
      <c r="B9" s="543"/>
      <c r="C9" s="534">
        <v>304</v>
      </c>
      <c r="D9" s="534">
        <v>11155</v>
      </c>
      <c r="E9" s="534">
        <v>38289</v>
      </c>
      <c r="F9" s="534">
        <v>21572</v>
      </c>
      <c r="G9" s="534">
        <v>195580</v>
      </c>
      <c r="H9" s="534">
        <v>25911</v>
      </c>
      <c r="I9" s="534">
        <v>68268</v>
      </c>
      <c r="J9" s="534"/>
      <c r="K9" s="534">
        <v>152596</v>
      </c>
      <c r="L9" s="534">
        <v>1799357</v>
      </c>
      <c r="M9" s="534">
        <v>14261</v>
      </c>
      <c r="N9" s="534">
        <v>1272</v>
      </c>
      <c r="O9" s="534">
        <v>20045</v>
      </c>
      <c r="P9" s="534">
        <v>10937</v>
      </c>
      <c r="Q9" s="544" t="s">
        <v>1199</v>
      </c>
    </row>
    <row r="10" spans="1:17" s="317" customFormat="1" ht="10.5" customHeight="1">
      <c r="A10" s="315" t="s">
        <v>1200</v>
      </c>
      <c r="B10" s="315"/>
      <c r="C10" s="42">
        <v>325</v>
      </c>
      <c r="D10" s="42">
        <v>12410</v>
      </c>
      <c r="E10" s="42">
        <v>37036</v>
      </c>
      <c r="F10" s="42">
        <v>17947</v>
      </c>
      <c r="G10" s="42">
        <v>197320</v>
      </c>
      <c r="H10" s="42">
        <v>31007</v>
      </c>
      <c r="I10" s="42">
        <v>73080</v>
      </c>
      <c r="J10" s="42"/>
      <c r="K10" s="42">
        <v>123419</v>
      </c>
      <c r="L10" s="42">
        <v>1904022</v>
      </c>
      <c r="M10" s="42">
        <v>14499</v>
      </c>
      <c r="N10" s="42">
        <v>1764</v>
      </c>
      <c r="O10" s="42" t="s">
        <v>104</v>
      </c>
      <c r="P10" s="42">
        <v>11299</v>
      </c>
      <c r="Q10" s="385" t="s">
        <v>1200</v>
      </c>
    </row>
    <row r="11" spans="1:17" s="317" customFormat="1" ht="10.5" customHeight="1">
      <c r="A11" s="543" t="s">
        <v>1201</v>
      </c>
      <c r="B11" s="543"/>
      <c r="C11" s="534">
        <v>338</v>
      </c>
      <c r="D11" s="534">
        <v>14731</v>
      </c>
      <c r="E11" s="534">
        <v>39950</v>
      </c>
      <c r="F11" s="534">
        <v>11157</v>
      </c>
      <c r="G11" s="534">
        <v>201200</v>
      </c>
      <c r="H11" s="534">
        <v>31193</v>
      </c>
      <c r="I11" s="534">
        <v>76633</v>
      </c>
      <c r="J11" s="534"/>
      <c r="K11" s="534">
        <v>96300</v>
      </c>
      <c r="L11" s="534">
        <v>2073744</v>
      </c>
      <c r="M11" s="534">
        <v>14217</v>
      </c>
      <c r="N11" s="534">
        <v>2036</v>
      </c>
      <c r="O11" s="534" t="s">
        <v>104</v>
      </c>
      <c r="P11" s="534">
        <v>11174</v>
      </c>
      <c r="Q11" s="544" t="s">
        <v>1201</v>
      </c>
    </row>
    <row r="12" spans="1:17" s="317" customFormat="1" ht="10.5" customHeight="1">
      <c r="A12" s="315" t="s">
        <v>1202</v>
      </c>
      <c r="B12" s="315"/>
      <c r="C12" s="42">
        <v>364</v>
      </c>
      <c r="D12" s="42">
        <v>16138</v>
      </c>
      <c r="E12" s="42">
        <v>37387</v>
      </c>
      <c r="F12" s="42">
        <v>2985</v>
      </c>
      <c r="G12" s="42">
        <v>203840</v>
      </c>
      <c r="H12" s="42">
        <v>31438</v>
      </c>
      <c r="I12" s="42">
        <v>78962</v>
      </c>
      <c r="J12" s="42"/>
      <c r="K12" s="42">
        <v>204329</v>
      </c>
      <c r="L12" s="42">
        <v>1750542</v>
      </c>
      <c r="M12" s="42">
        <v>14083</v>
      </c>
      <c r="N12" s="42">
        <v>2000</v>
      </c>
      <c r="O12" s="42" t="s">
        <v>104</v>
      </c>
      <c r="P12" s="42">
        <v>11875</v>
      </c>
      <c r="Q12" s="385" t="s">
        <v>1202</v>
      </c>
    </row>
    <row r="13" spans="1:17" s="317" customFormat="1" ht="10.5" customHeight="1">
      <c r="A13" s="543" t="s">
        <v>1203</v>
      </c>
      <c r="B13" s="543"/>
      <c r="C13" s="534">
        <v>388</v>
      </c>
      <c r="D13" s="534">
        <v>18030</v>
      </c>
      <c r="E13" s="534">
        <v>30262</v>
      </c>
      <c r="F13" s="534" t="s">
        <v>836</v>
      </c>
      <c r="G13" s="534">
        <v>224990</v>
      </c>
      <c r="H13" s="534">
        <v>32338</v>
      </c>
      <c r="I13" s="534">
        <v>81103</v>
      </c>
      <c r="J13" s="534"/>
      <c r="K13" s="534">
        <v>177397</v>
      </c>
      <c r="L13" s="534">
        <v>2263318</v>
      </c>
      <c r="M13" s="534">
        <v>5981</v>
      </c>
      <c r="N13" s="534">
        <v>2179</v>
      </c>
      <c r="O13" s="534" t="s">
        <v>104</v>
      </c>
      <c r="P13" s="534">
        <v>12127</v>
      </c>
      <c r="Q13" s="544" t="s">
        <v>1203</v>
      </c>
    </row>
    <row r="14" spans="1:17" s="317" customFormat="1" ht="10.5" customHeight="1">
      <c r="A14" s="315" t="s">
        <v>1204</v>
      </c>
      <c r="B14" s="315"/>
      <c r="C14" s="42">
        <v>470</v>
      </c>
      <c r="D14" s="42">
        <v>26296</v>
      </c>
      <c r="E14" s="42">
        <v>28916</v>
      </c>
      <c r="F14" s="42" t="s">
        <v>836</v>
      </c>
      <c r="G14" s="42">
        <v>225740</v>
      </c>
      <c r="H14" s="42">
        <v>37556</v>
      </c>
      <c r="I14" s="42">
        <v>55534</v>
      </c>
      <c r="J14" s="42"/>
      <c r="K14" s="42">
        <v>119146</v>
      </c>
      <c r="L14" s="42">
        <v>2198231</v>
      </c>
      <c r="M14" s="42" t="s">
        <v>104</v>
      </c>
      <c r="N14" s="42">
        <v>2090</v>
      </c>
      <c r="O14" s="42" t="s">
        <v>104</v>
      </c>
      <c r="P14" s="42">
        <v>12537</v>
      </c>
      <c r="Q14" s="385" t="s">
        <v>1204</v>
      </c>
    </row>
    <row r="15" spans="1:17" s="317" customFormat="1" ht="10.5" customHeight="1">
      <c r="A15" s="543" t="s">
        <v>1205</v>
      </c>
      <c r="B15" s="543"/>
      <c r="C15" s="534">
        <v>573</v>
      </c>
      <c r="D15" s="534">
        <v>32585</v>
      </c>
      <c r="E15" s="534">
        <v>24316</v>
      </c>
      <c r="F15" s="534" t="s">
        <v>836</v>
      </c>
      <c r="G15" s="534">
        <v>238600</v>
      </c>
      <c r="H15" s="534">
        <v>53187</v>
      </c>
      <c r="I15" s="534">
        <v>97053</v>
      </c>
      <c r="J15" s="534"/>
      <c r="K15" s="534">
        <v>108739</v>
      </c>
      <c r="L15" s="534">
        <v>2102306</v>
      </c>
      <c r="M15" s="534" t="s">
        <v>104</v>
      </c>
      <c r="N15" s="534">
        <v>1751</v>
      </c>
      <c r="O15" s="534" t="s">
        <v>104</v>
      </c>
      <c r="P15" s="534">
        <v>12808</v>
      </c>
      <c r="Q15" s="544" t="s">
        <v>1205</v>
      </c>
    </row>
    <row r="16" spans="1:17" s="317" customFormat="1" ht="10.5" customHeight="1">
      <c r="A16" s="315" t="s">
        <v>1210</v>
      </c>
      <c r="B16" s="315"/>
      <c r="C16" s="42">
        <v>671</v>
      </c>
      <c r="D16" s="42">
        <v>38050</v>
      </c>
      <c r="E16" s="42">
        <v>25704</v>
      </c>
      <c r="F16" s="42" t="s">
        <v>836</v>
      </c>
      <c r="G16" s="42">
        <v>245970</v>
      </c>
      <c r="H16" s="42">
        <v>63305</v>
      </c>
      <c r="I16" s="42">
        <v>108239</v>
      </c>
      <c r="J16" s="42"/>
      <c r="K16" s="42">
        <v>129413</v>
      </c>
      <c r="L16" s="42">
        <v>1926645</v>
      </c>
      <c r="M16" s="42" t="s">
        <v>104</v>
      </c>
      <c r="N16" s="42">
        <v>2037</v>
      </c>
      <c r="O16" s="42" t="s">
        <v>104</v>
      </c>
      <c r="P16" s="42">
        <v>13428</v>
      </c>
      <c r="Q16" s="385" t="s">
        <v>1210</v>
      </c>
    </row>
    <row r="17" spans="1:17" s="317" customFormat="1" ht="10.5" customHeight="1">
      <c r="A17" s="543" t="s">
        <v>1219</v>
      </c>
      <c r="B17" s="543"/>
      <c r="C17" s="534">
        <v>870</v>
      </c>
      <c r="D17" s="534">
        <v>43730</v>
      </c>
      <c r="E17" s="534">
        <v>22896</v>
      </c>
      <c r="F17" s="534" t="s">
        <v>836</v>
      </c>
      <c r="G17" s="534">
        <v>245580</v>
      </c>
      <c r="H17" s="534">
        <v>67007</v>
      </c>
      <c r="I17" s="534">
        <v>120485</v>
      </c>
      <c r="J17" s="534"/>
      <c r="K17" s="534">
        <v>162199</v>
      </c>
      <c r="L17" s="534">
        <v>1982292</v>
      </c>
      <c r="M17" s="534" t="s">
        <v>104</v>
      </c>
      <c r="N17" s="534">
        <v>2325</v>
      </c>
      <c r="O17" s="534" t="s">
        <v>104</v>
      </c>
      <c r="P17" s="534">
        <v>13316</v>
      </c>
      <c r="Q17" s="544" t="s">
        <v>1219</v>
      </c>
    </row>
    <row r="18" spans="1:17" s="317" customFormat="1" ht="10.5" customHeight="1">
      <c r="A18" s="315" t="s">
        <v>916</v>
      </c>
      <c r="B18" s="315"/>
      <c r="C18" s="42">
        <v>951</v>
      </c>
      <c r="D18" s="42">
        <v>46079</v>
      </c>
      <c r="E18" s="42">
        <v>24079</v>
      </c>
      <c r="F18" s="42" t="s">
        <v>1257</v>
      </c>
      <c r="G18" s="42">
        <v>241800</v>
      </c>
      <c r="H18" s="42">
        <v>70331</v>
      </c>
      <c r="I18" s="42">
        <v>125436</v>
      </c>
      <c r="J18" s="42"/>
      <c r="K18" s="42">
        <v>163844</v>
      </c>
      <c r="L18" s="42">
        <v>1581364</v>
      </c>
      <c r="M18" s="42" t="s">
        <v>1257</v>
      </c>
      <c r="N18" s="42">
        <v>2085</v>
      </c>
      <c r="O18" s="42" t="s">
        <v>1257</v>
      </c>
      <c r="P18" s="42">
        <v>12964</v>
      </c>
      <c r="Q18" s="385" t="s">
        <v>916</v>
      </c>
    </row>
    <row r="19" spans="1:17" s="317" customFormat="1" ht="10.5" customHeight="1">
      <c r="A19" s="543" t="s">
        <v>230</v>
      </c>
      <c r="B19" s="543"/>
      <c r="C19" s="534">
        <v>981</v>
      </c>
      <c r="D19" s="534">
        <v>50566</v>
      </c>
      <c r="E19" s="534">
        <v>24240</v>
      </c>
      <c r="F19" s="534" t="s">
        <v>836</v>
      </c>
      <c r="G19" s="534">
        <v>236410</v>
      </c>
      <c r="H19" s="534">
        <v>73077</v>
      </c>
      <c r="I19" s="534">
        <v>134069</v>
      </c>
      <c r="J19" s="534"/>
      <c r="K19" s="534">
        <v>79922</v>
      </c>
      <c r="L19" s="534">
        <v>1342024</v>
      </c>
      <c r="M19" s="534" t="s">
        <v>1257</v>
      </c>
      <c r="N19" s="534">
        <v>2111</v>
      </c>
      <c r="O19" s="534" t="s">
        <v>836</v>
      </c>
      <c r="P19" s="534">
        <v>13416</v>
      </c>
      <c r="Q19" s="544" t="s">
        <v>230</v>
      </c>
    </row>
    <row r="20" spans="1:17" s="317" customFormat="1" ht="10.5" customHeight="1">
      <c r="A20" s="315" t="s">
        <v>220</v>
      </c>
      <c r="B20" s="315"/>
      <c r="C20" s="256">
        <v>1006.35</v>
      </c>
      <c r="D20" s="42">
        <v>52975</v>
      </c>
      <c r="E20" s="42">
        <v>18676</v>
      </c>
      <c r="F20" s="42" t="s">
        <v>836</v>
      </c>
      <c r="G20" s="42">
        <v>236790</v>
      </c>
      <c r="H20" s="42">
        <v>76918</v>
      </c>
      <c r="I20" s="42">
        <v>156528</v>
      </c>
      <c r="J20" s="42"/>
      <c r="K20" s="42">
        <v>62203</v>
      </c>
      <c r="L20" s="42">
        <v>1138644</v>
      </c>
      <c r="M20" s="42" t="s">
        <v>836</v>
      </c>
      <c r="N20" s="42">
        <v>2021</v>
      </c>
      <c r="O20" s="42" t="s">
        <v>836</v>
      </c>
      <c r="P20" s="42">
        <v>13330</v>
      </c>
      <c r="Q20" s="385" t="s">
        <v>220</v>
      </c>
    </row>
    <row r="21" spans="1:17" s="315" customFormat="1" ht="10.5" customHeight="1">
      <c r="A21" s="543" t="s">
        <v>489</v>
      </c>
      <c r="B21" s="543"/>
      <c r="C21" s="538">
        <v>1030</v>
      </c>
      <c r="D21" s="538">
        <v>56181</v>
      </c>
      <c r="E21" s="538">
        <v>20241</v>
      </c>
      <c r="F21" s="534" t="s">
        <v>836</v>
      </c>
      <c r="G21" s="538">
        <v>234510</v>
      </c>
      <c r="H21" s="538">
        <v>76970</v>
      </c>
      <c r="I21" s="538">
        <v>154384</v>
      </c>
      <c r="J21" s="534"/>
      <c r="K21" s="538">
        <v>100963</v>
      </c>
      <c r="L21" s="538">
        <v>1011941</v>
      </c>
      <c r="M21" s="534" t="s">
        <v>836</v>
      </c>
      <c r="N21" s="538">
        <v>1898</v>
      </c>
      <c r="O21" s="534" t="s">
        <v>836</v>
      </c>
      <c r="P21" s="538">
        <v>14143</v>
      </c>
      <c r="Q21" s="544" t="s">
        <v>489</v>
      </c>
    </row>
    <row r="22" spans="1:17" s="315" customFormat="1" ht="10.5" customHeight="1">
      <c r="A22" s="315" t="s">
        <v>1580</v>
      </c>
      <c r="C22" s="256">
        <v>955.09444444444443</v>
      </c>
      <c r="D22" s="256">
        <v>56546</v>
      </c>
      <c r="E22" s="256">
        <v>20740</v>
      </c>
      <c r="F22" s="42" t="s">
        <v>836</v>
      </c>
      <c r="G22" s="256">
        <v>315050</v>
      </c>
      <c r="H22" s="256">
        <v>113765</v>
      </c>
      <c r="I22" s="256">
        <v>162407</v>
      </c>
      <c r="J22" s="42"/>
      <c r="K22" s="256">
        <v>63309</v>
      </c>
      <c r="L22" s="256">
        <v>1036947</v>
      </c>
      <c r="M22" s="42" t="s">
        <v>836</v>
      </c>
      <c r="N22" s="256">
        <v>1442</v>
      </c>
      <c r="O22" s="42" t="s">
        <v>836</v>
      </c>
      <c r="P22" s="256">
        <v>18148</v>
      </c>
      <c r="Q22" s="385" t="s">
        <v>1580</v>
      </c>
    </row>
    <row r="23" spans="1:17" s="315" customFormat="1" ht="10.5" customHeight="1">
      <c r="A23" s="543" t="s">
        <v>1809</v>
      </c>
      <c r="B23" s="543"/>
      <c r="C23" s="538">
        <v>970.12777777777774</v>
      </c>
      <c r="D23" s="538">
        <v>56949</v>
      </c>
      <c r="E23" s="538">
        <v>17774</v>
      </c>
      <c r="F23" s="534" t="s">
        <v>836</v>
      </c>
      <c r="G23" s="538">
        <v>262620</v>
      </c>
      <c r="H23" s="538">
        <v>313265</v>
      </c>
      <c r="I23" s="538">
        <v>194048</v>
      </c>
      <c r="J23" s="534"/>
      <c r="K23" s="538">
        <v>107133</v>
      </c>
      <c r="L23" s="538">
        <v>1074791</v>
      </c>
      <c r="M23" s="534" t="s">
        <v>836</v>
      </c>
      <c r="N23" s="538">
        <v>2364</v>
      </c>
      <c r="O23" s="534" t="s">
        <v>836</v>
      </c>
      <c r="P23" s="538">
        <v>20989</v>
      </c>
      <c r="Q23" s="544" t="s">
        <v>1809</v>
      </c>
    </row>
    <row r="24" spans="1:17" s="353" customFormat="1" ht="10.5" customHeight="1">
      <c r="A24" s="353" t="s">
        <v>2226</v>
      </c>
      <c r="C24" s="1030">
        <f>SUM(C25:C36)</f>
        <v>974.33888888888885</v>
      </c>
      <c r="D24" s="1030">
        <f t="shared" ref="D24:L24" si="0">SUM(D25:D36)</f>
        <v>57386</v>
      </c>
      <c r="E24" s="1030">
        <f t="shared" si="0"/>
        <v>13098</v>
      </c>
      <c r="F24" s="258" t="s">
        <v>836</v>
      </c>
      <c r="G24" s="1030">
        <f t="shared" si="0"/>
        <v>283130</v>
      </c>
      <c r="H24" s="1030">
        <f t="shared" si="0"/>
        <v>352115</v>
      </c>
      <c r="I24" s="1030">
        <f t="shared" si="0"/>
        <v>209106</v>
      </c>
      <c r="J24" s="258"/>
      <c r="K24" s="1030">
        <f t="shared" si="0"/>
        <v>128268</v>
      </c>
      <c r="L24" s="1030">
        <f t="shared" si="0"/>
        <v>976691</v>
      </c>
      <c r="M24" s="1030" t="s">
        <v>836</v>
      </c>
      <c r="N24" s="1030">
        <f>SUM(N25:N36)</f>
        <v>2009</v>
      </c>
      <c r="O24" s="1030" t="s">
        <v>836</v>
      </c>
      <c r="P24" s="1030">
        <f>SUM(P25:P36)</f>
        <v>20813</v>
      </c>
      <c r="Q24" s="865" t="s">
        <v>2226</v>
      </c>
    </row>
    <row r="25" spans="1:17" s="315" customFormat="1" ht="10.5" hidden="1" customHeight="1">
      <c r="A25" s="543" t="s">
        <v>1211</v>
      </c>
      <c r="B25" s="543"/>
      <c r="C25" s="532">
        <v>81</v>
      </c>
      <c r="D25" s="534">
        <v>4785</v>
      </c>
      <c r="E25" s="534">
        <v>1100</v>
      </c>
      <c r="F25" s="534" t="s">
        <v>836</v>
      </c>
      <c r="G25" s="534">
        <v>24760</v>
      </c>
      <c r="H25" s="534">
        <v>28620</v>
      </c>
      <c r="I25" s="534">
        <v>17372</v>
      </c>
      <c r="J25" s="534"/>
      <c r="K25" s="534">
        <v>0</v>
      </c>
      <c r="L25" s="534">
        <f>20832+10621+1050</f>
        <v>32503</v>
      </c>
      <c r="M25" s="534" t="s">
        <v>836</v>
      </c>
      <c r="N25" s="534">
        <v>180</v>
      </c>
      <c r="O25" s="534" t="s">
        <v>836</v>
      </c>
      <c r="P25" s="534">
        <v>1740</v>
      </c>
      <c r="Q25" s="544" t="s">
        <v>1211</v>
      </c>
    </row>
    <row r="26" spans="1:17" s="315" customFormat="1" ht="10.5" hidden="1" customHeight="1">
      <c r="A26" s="315" t="s">
        <v>1212</v>
      </c>
      <c r="C26" s="739">
        <v>81</v>
      </c>
      <c r="D26" s="42">
        <v>4680</v>
      </c>
      <c r="E26" s="42">
        <v>887</v>
      </c>
      <c r="F26" s="42" t="s">
        <v>836</v>
      </c>
      <c r="G26" s="42">
        <v>19440</v>
      </c>
      <c r="H26" s="42">
        <v>28623</v>
      </c>
      <c r="I26" s="42">
        <v>17374</v>
      </c>
      <c r="J26" s="42"/>
      <c r="K26" s="42">
        <v>0</v>
      </c>
      <c r="L26" s="42">
        <f>39085+9374</f>
        <v>48459</v>
      </c>
      <c r="M26" s="42" t="s">
        <v>836</v>
      </c>
      <c r="N26" s="42">
        <v>197</v>
      </c>
      <c r="O26" s="42" t="s">
        <v>836</v>
      </c>
      <c r="P26" s="42">
        <v>1732</v>
      </c>
      <c r="Q26" s="385" t="s">
        <v>1212</v>
      </c>
    </row>
    <row r="27" spans="1:17" s="315" customFormat="1" ht="10.5" hidden="1" customHeight="1">
      <c r="A27" s="543" t="s">
        <v>1206</v>
      </c>
      <c r="B27" s="543"/>
      <c r="C27" s="532">
        <v>81</v>
      </c>
      <c r="D27" s="534">
        <v>4712</v>
      </c>
      <c r="E27" s="534">
        <v>748</v>
      </c>
      <c r="F27" s="534" t="s">
        <v>836</v>
      </c>
      <c r="G27" s="534">
        <v>22170</v>
      </c>
      <c r="H27" s="534">
        <v>28630</v>
      </c>
      <c r="I27" s="534">
        <v>17382</v>
      </c>
      <c r="J27" s="534"/>
      <c r="K27" s="534">
        <v>0</v>
      </c>
      <c r="L27" s="534">
        <f>79965+7589+4087</f>
        <v>91641</v>
      </c>
      <c r="M27" s="534" t="s">
        <v>836</v>
      </c>
      <c r="N27" s="534">
        <v>186</v>
      </c>
      <c r="O27" s="534" t="s">
        <v>836</v>
      </c>
      <c r="P27" s="534">
        <v>1725</v>
      </c>
      <c r="Q27" s="544" t="s">
        <v>1206</v>
      </c>
    </row>
    <row r="28" spans="1:17" s="315" customFormat="1" ht="10.5" hidden="1" customHeight="1">
      <c r="A28" s="315" t="s">
        <v>1213</v>
      </c>
      <c r="C28" s="739">
        <v>81</v>
      </c>
      <c r="D28" s="42">
        <v>4700</v>
      </c>
      <c r="E28" s="42">
        <v>912</v>
      </c>
      <c r="F28" s="42" t="s">
        <v>836</v>
      </c>
      <c r="G28" s="42">
        <v>24860</v>
      </c>
      <c r="H28" s="42">
        <v>28625</v>
      </c>
      <c r="I28" s="42">
        <v>17354</v>
      </c>
      <c r="J28" s="42"/>
      <c r="K28" s="42">
        <v>0</v>
      </c>
      <c r="L28" s="42">
        <f>62776+37+6622+5315</f>
        <v>74750</v>
      </c>
      <c r="M28" s="42" t="s">
        <v>836</v>
      </c>
      <c r="N28" s="42">
        <v>192</v>
      </c>
      <c r="O28" s="42" t="s">
        <v>836</v>
      </c>
      <c r="P28" s="42">
        <v>1720</v>
      </c>
      <c r="Q28" s="385" t="s">
        <v>1213</v>
      </c>
    </row>
    <row r="29" spans="1:17" s="315" customFormat="1" ht="10.5" hidden="1" customHeight="1">
      <c r="A29" s="543" t="s">
        <v>1214</v>
      </c>
      <c r="B29" s="543"/>
      <c r="C29" s="532">
        <v>81</v>
      </c>
      <c r="D29" s="534">
        <v>4685</v>
      </c>
      <c r="E29" s="534">
        <v>1050</v>
      </c>
      <c r="F29" s="534" t="s">
        <v>836</v>
      </c>
      <c r="G29" s="534">
        <v>26800</v>
      </c>
      <c r="H29" s="534">
        <v>28599</v>
      </c>
      <c r="I29" s="534">
        <v>17335</v>
      </c>
      <c r="J29" s="534"/>
      <c r="K29" s="534">
        <v>1610</v>
      </c>
      <c r="L29" s="534">
        <f>118228+5584+1199</f>
        <v>125011</v>
      </c>
      <c r="M29" s="534" t="s">
        <v>836</v>
      </c>
      <c r="N29" s="534">
        <v>177</v>
      </c>
      <c r="O29" s="534" t="s">
        <v>836</v>
      </c>
      <c r="P29" s="534">
        <v>1730</v>
      </c>
      <c r="Q29" s="544" t="s">
        <v>1214</v>
      </c>
    </row>
    <row r="30" spans="1:17" s="315" customFormat="1" ht="10.5" hidden="1" customHeight="1">
      <c r="A30" s="315" t="s">
        <v>1207</v>
      </c>
      <c r="C30" s="739">
        <f>14557/180</f>
        <v>80.87222222222222</v>
      </c>
      <c r="D30" s="42">
        <v>4760</v>
      </c>
      <c r="E30" s="42">
        <v>808</v>
      </c>
      <c r="F30" s="42" t="s">
        <v>836</v>
      </c>
      <c r="G30" s="42">
        <v>23880</v>
      </c>
      <c r="H30" s="42">
        <v>28615</v>
      </c>
      <c r="I30" s="42">
        <v>17329</v>
      </c>
      <c r="J30" s="42"/>
      <c r="K30" s="42">
        <v>19969</v>
      </c>
      <c r="L30" s="42">
        <f>129205+6+3910+3837</f>
        <v>136958</v>
      </c>
      <c r="M30" s="42" t="s">
        <v>836</v>
      </c>
      <c r="N30" s="42">
        <v>174</v>
      </c>
      <c r="O30" s="42" t="s">
        <v>836</v>
      </c>
      <c r="P30" s="42">
        <v>1728</v>
      </c>
      <c r="Q30" s="385" t="s">
        <v>1207</v>
      </c>
    </row>
    <row r="31" spans="1:17" s="315" customFormat="1" ht="10.5" hidden="1" customHeight="1">
      <c r="A31" s="543" t="s">
        <v>1215</v>
      </c>
      <c r="B31" s="543"/>
      <c r="C31" s="532">
        <f>14612/180</f>
        <v>81.177777777777777</v>
      </c>
      <c r="D31" s="534">
        <v>4810</v>
      </c>
      <c r="E31" s="534">
        <v>1141</v>
      </c>
      <c r="F31" s="534" t="s">
        <v>836</v>
      </c>
      <c r="G31" s="534">
        <v>25340</v>
      </c>
      <c r="H31" s="534">
        <v>28627</v>
      </c>
      <c r="I31" s="534">
        <v>17342</v>
      </c>
      <c r="J31" s="534"/>
      <c r="K31" s="534">
        <v>40431</v>
      </c>
      <c r="L31" s="534">
        <f>109209+22+9820+4285</f>
        <v>123336</v>
      </c>
      <c r="M31" s="534" t="s">
        <v>836</v>
      </c>
      <c r="N31" s="534">
        <v>167</v>
      </c>
      <c r="O31" s="534" t="s">
        <v>836</v>
      </c>
      <c r="P31" s="534">
        <v>1733</v>
      </c>
      <c r="Q31" s="544" t="s">
        <v>1215</v>
      </c>
    </row>
    <row r="32" spans="1:17" s="315" customFormat="1" ht="10.5" hidden="1" customHeight="1">
      <c r="A32" s="315" t="s">
        <v>1216</v>
      </c>
      <c r="C32" s="739">
        <f>14625/180</f>
        <v>81.25</v>
      </c>
      <c r="D32" s="42">
        <v>4815</v>
      </c>
      <c r="E32" s="42">
        <v>1556</v>
      </c>
      <c r="F32" s="42" t="s">
        <v>836</v>
      </c>
      <c r="G32" s="42">
        <v>18420</v>
      </c>
      <c r="H32" s="42">
        <v>28635</v>
      </c>
      <c r="I32" s="42">
        <v>17348</v>
      </c>
      <c r="J32" s="42"/>
      <c r="K32" s="42">
        <v>36260</v>
      </c>
      <c r="L32" s="42">
        <f>123630+10956+4795</f>
        <v>139381</v>
      </c>
      <c r="M32" s="42" t="s">
        <v>836</v>
      </c>
      <c r="N32" s="42">
        <v>158</v>
      </c>
      <c r="O32" s="42" t="s">
        <v>836</v>
      </c>
      <c r="P32" s="42">
        <v>1735</v>
      </c>
      <c r="Q32" s="385" t="s">
        <v>1216</v>
      </c>
    </row>
    <row r="33" spans="1:17" s="315" customFormat="1" ht="10.5" hidden="1" customHeight="1">
      <c r="A33" s="543" t="s">
        <v>1208</v>
      </c>
      <c r="B33" s="543"/>
      <c r="C33" s="532">
        <f>14625/180</f>
        <v>81.25</v>
      </c>
      <c r="D33" s="534">
        <v>4820</v>
      </c>
      <c r="E33" s="534">
        <v>1515</v>
      </c>
      <c r="F33" s="534" t="s">
        <v>836</v>
      </c>
      <c r="G33" s="534">
        <v>24470</v>
      </c>
      <c r="H33" s="534">
        <v>28778</v>
      </c>
      <c r="I33" s="534">
        <v>17390</v>
      </c>
      <c r="J33" s="534"/>
      <c r="K33" s="534">
        <v>25089</v>
      </c>
      <c r="L33" s="534">
        <f>80408+10788+5196</f>
        <v>96392</v>
      </c>
      <c r="M33" s="534" t="s">
        <v>836</v>
      </c>
      <c r="N33" s="534">
        <v>145</v>
      </c>
      <c r="O33" s="534" t="s">
        <v>836</v>
      </c>
      <c r="P33" s="534">
        <v>1738</v>
      </c>
      <c r="Q33" s="544" t="s">
        <v>1208</v>
      </c>
    </row>
    <row r="34" spans="1:17" s="315" customFormat="1" ht="10.5" hidden="1" customHeight="1">
      <c r="A34" s="315" t="s">
        <v>1217</v>
      </c>
      <c r="C34" s="739">
        <f>14672/180</f>
        <v>81.511111111111106</v>
      </c>
      <c r="D34" s="42">
        <v>4843</v>
      </c>
      <c r="E34" s="42">
        <v>1255</v>
      </c>
      <c r="F34" s="42" t="s">
        <v>836</v>
      </c>
      <c r="G34" s="42">
        <v>28150</v>
      </c>
      <c r="H34" s="42">
        <v>28920</v>
      </c>
      <c r="I34" s="42">
        <v>17530</v>
      </c>
      <c r="J34" s="42"/>
      <c r="K34" s="42">
        <v>4277</v>
      </c>
      <c r="L34" s="42">
        <f>31592+2567+8538</f>
        <v>42697</v>
      </c>
      <c r="M34" s="42" t="s">
        <v>836</v>
      </c>
      <c r="N34" s="42">
        <v>127</v>
      </c>
      <c r="O34" s="42" t="s">
        <v>836</v>
      </c>
      <c r="P34" s="42">
        <v>1740</v>
      </c>
      <c r="Q34" s="385" t="s">
        <v>1217</v>
      </c>
    </row>
    <row r="35" spans="1:17" s="315" customFormat="1" ht="10.5" hidden="1" customHeight="1">
      <c r="A35" s="543" t="s">
        <v>1218</v>
      </c>
      <c r="B35" s="543"/>
      <c r="C35" s="532">
        <f>14685/180</f>
        <v>81.583333333333329</v>
      </c>
      <c r="D35" s="534">
        <v>4890</v>
      </c>
      <c r="E35" s="534">
        <v>1013</v>
      </c>
      <c r="F35" s="534" t="s">
        <v>836</v>
      </c>
      <c r="G35" s="534">
        <v>31280</v>
      </c>
      <c r="H35" s="534">
        <v>28945</v>
      </c>
      <c r="I35" s="534">
        <v>17600</v>
      </c>
      <c r="J35" s="534"/>
      <c r="K35" s="534">
        <v>632</v>
      </c>
      <c r="L35" s="534">
        <f>40130+1281+8987</f>
        <v>50398</v>
      </c>
      <c r="M35" s="534" t="s">
        <v>836</v>
      </c>
      <c r="N35" s="534">
        <v>141</v>
      </c>
      <c r="O35" s="534" t="s">
        <v>836</v>
      </c>
      <c r="P35" s="534">
        <v>1742</v>
      </c>
      <c r="Q35" s="544" t="s">
        <v>1218</v>
      </c>
    </row>
    <row r="36" spans="1:17" s="315" customFormat="1" ht="10.5" hidden="1" customHeight="1">
      <c r="A36" s="315" t="s">
        <v>1209</v>
      </c>
      <c r="C36" s="739">
        <f>14705/180</f>
        <v>81.694444444444443</v>
      </c>
      <c r="D36" s="42">
        <v>4886</v>
      </c>
      <c r="E36" s="42">
        <v>1113</v>
      </c>
      <c r="F36" s="42" t="s">
        <v>836</v>
      </c>
      <c r="G36" s="42">
        <v>13560</v>
      </c>
      <c r="H36" s="42">
        <v>36498</v>
      </c>
      <c r="I36" s="42">
        <v>17750</v>
      </c>
      <c r="J36" s="42"/>
      <c r="K36" s="42">
        <v>0</v>
      </c>
      <c r="L36" s="42">
        <f>2515+7320+5330</f>
        <v>15165</v>
      </c>
      <c r="M36" s="42" t="s">
        <v>836</v>
      </c>
      <c r="N36" s="42">
        <v>165</v>
      </c>
      <c r="O36" s="42" t="s">
        <v>836</v>
      </c>
      <c r="P36" s="42">
        <v>1750</v>
      </c>
      <c r="Q36" s="385" t="s">
        <v>1209</v>
      </c>
    </row>
    <row r="37" spans="1:17" s="315" customFormat="1" ht="10.5" customHeight="1">
      <c r="A37" s="545" t="s">
        <v>2376</v>
      </c>
      <c r="B37" s="545"/>
      <c r="C37" s="904">
        <f>SUM(C38:C49)</f>
        <v>780.2166666666667</v>
      </c>
      <c r="D37" s="904">
        <f t="shared" ref="D37:P37" si="1">SUM(D38:D49)</f>
        <v>44692</v>
      </c>
      <c r="E37" s="904">
        <f t="shared" si="1"/>
        <v>12660</v>
      </c>
      <c r="F37" s="904" t="s">
        <v>836</v>
      </c>
      <c r="G37" s="904">
        <f t="shared" si="1"/>
        <v>264850</v>
      </c>
      <c r="H37" s="904">
        <f t="shared" si="1"/>
        <v>609045</v>
      </c>
      <c r="I37" s="904">
        <f t="shared" si="1"/>
        <v>298939</v>
      </c>
      <c r="J37" s="904"/>
      <c r="K37" s="904">
        <f t="shared" si="1"/>
        <v>77450</v>
      </c>
      <c r="L37" s="904">
        <f t="shared" si="1"/>
        <v>1028157</v>
      </c>
      <c r="M37" s="904" t="s">
        <v>836</v>
      </c>
      <c r="N37" s="904">
        <f t="shared" si="1"/>
        <v>1529</v>
      </c>
      <c r="O37" s="904" t="s">
        <v>836</v>
      </c>
      <c r="P37" s="904">
        <f t="shared" si="1"/>
        <v>18935</v>
      </c>
      <c r="Q37" s="546" t="s">
        <v>2376</v>
      </c>
    </row>
    <row r="38" spans="1:17" s="315" customFormat="1" ht="10.5" customHeight="1">
      <c r="A38" s="315" t="s">
        <v>1211</v>
      </c>
      <c r="C38" s="739">
        <f>12484/180</f>
        <v>69.355555555555554</v>
      </c>
      <c r="D38" s="42">
        <v>3516</v>
      </c>
      <c r="E38" s="42">
        <v>1383</v>
      </c>
      <c r="F38" s="42" t="s">
        <v>836</v>
      </c>
      <c r="G38" s="42">
        <v>20000</v>
      </c>
      <c r="H38" s="42">
        <v>49075</v>
      </c>
      <c r="I38" s="42">
        <v>20999</v>
      </c>
      <c r="J38" s="42"/>
      <c r="K38" s="42">
        <v>0</v>
      </c>
      <c r="L38" s="42">
        <f>6991+9275+6068</f>
        <v>22334</v>
      </c>
      <c r="M38" s="42" t="s">
        <v>836</v>
      </c>
      <c r="N38" s="42">
        <v>158</v>
      </c>
      <c r="O38" s="42" t="s">
        <v>836</v>
      </c>
      <c r="P38" s="42">
        <v>1750</v>
      </c>
      <c r="Q38" s="385" t="s">
        <v>1211</v>
      </c>
    </row>
    <row r="39" spans="1:17" s="315" customFormat="1" ht="10.5" customHeight="1">
      <c r="A39" s="543" t="s">
        <v>1212</v>
      </c>
      <c r="B39" s="543"/>
      <c r="C39" s="532">
        <f>12674/180</f>
        <v>70.411111111111111</v>
      </c>
      <c r="D39" s="534">
        <v>3326</v>
      </c>
      <c r="E39" s="534">
        <v>1319</v>
      </c>
      <c r="F39" s="534" t="s">
        <v>836</v>
      </c>
      <c r="G39" s="534">
        <v>20190</v>
      </c>
      <c r="H39" s="534">
        <v>65503</v>
      </c>
      <c r="I39" s="534">
        <v>24125</v>
      </c>
      <c r="J39" s="534"/>
      <c r="K39" s="534">
        <v>0</v>
      </c>
      <c r="L39" s="534">
        <f>41632+7406</f>
        <v>49038</v>
      </c>
      <c r="M39" s="534" t="s">
        <v>836</v>
      </c>
      <c r="N39" s="534">
        <v>112</v>
      </c>
      <c r="O39" s="534" t="s">
        <v>836</v>
      </c>
      <c r="P39" s="534">
        <v>1750</v>
      </c>
      <c r="Q39" s="544" t="s">
        <v>1212</v>
      </c>
    </row>
    <row r="40" spans="1:17" s="315" customFormat="1" ht="10.5" customHeight="1">
      <c r="A40" s="315" t="s">
        <v>1206</v>
      </c>
      <c r="C40" s="739">
        <f>12678/180</f>
        <v>70.433333333333337</v>
      </c>
      <c r="D40" s="42">
        <v>3569</v>
      </c>
      <c r="E40" s="42">
        <v>1030</v>
      </c>
      <c r="F40" s="42" t="s">
        <v>836</v>
      </c>
      <c r="G40" s="42">
        <v>23610</v>
      </c>
      <c r="H40" s="42">
        <v>46294</v>
      </c>
      <c r="I40" s="42">
        <v>24136</v>
      </c>
      <c r="J40" s="42"/>
      <c r="K40" s="42">
        <v>0</v>
      </c>
      <c r="L40" s="42">
        <f>80623+5465+3269</f>
        <v>89357</v>
      </c>
      <c r="M40" s="42" t="s">
        <v>836</v>
      </c>
      <c r="N40" s="42">
        <v>105</v>
      </c>
      <c r="O40" s="42" t="s">
        <v>836</v>
      </c>
      <c r="P40" s="42">
        <v>1650</v>
      </c>
      <c r="Q40" s="385" t="s">
        <v>1206</v>
      </c>
    </row>
    <row r="41" spans="1:17" s="315" customFormat="1" ht="10.5" customHeight="1">
      <c r="A41" s="543" t="s">
        <v>1213</v>
      </c>
      <c r="B41" s="543"/>
      <c r="C41" s="532">
        <f>12683/180</f>
        <v>70.461111111111109</v>
      </c>
      <c r="D41" s="534">
        <v>3873</v>
      </c>
      <c r="E41" s="534">
        <v>1048</v>
      </c>
      <c r="F41" s="534" t="s">
        <v>836</v>
      </c>
      <c r="G41" s="534">
        <v>22170</v>
      </c>
      <c r="H41" s="534">
        <v>42488</v>
      </c>
      <c r="I41" s="534">
        <v>24097</v>
      </c>
      <c r="J41" s="534"/>
      <c r="K41" s="534">
        <v>0</v>
      </c>
      <c r="L41" s="534">
        <f>105548+5580+5242</f>
        <v>116370</v>
      </c>
      <c r="M41" s="534" t="s">
        <v>836</v>
      </c>
      <c r="N41" s="534">
        <v>114</v>
      </c>
      <c r="O41" s="534" t="s">
        <v>836</v>
      </c>
      <c r="P41" s="534">
        <v>1550</v>
      </c>
      <c r="Q41" s="544" t="s">
        <v>1213</v>
      </c>
    </row>
    <row r="42" spans="1:17" s="315" customFormat="1" ht="10.5" customHeight="1">
      <c r="A42" s="315" t="s">
        <v>1214</v>
      </c>
      <c r="C42" s="739">
        <f>11701/180</f>
        <v>65.00555555555556</v>
      </c>
      <c r="D42" s="42">
        <v>3690</v>
      </c>
      <c r="E42" s="42">
        <v>811</v>
      </c>
      <c r="F42" s="42" t="s">
        <v>836</v>
      </c>
      <c r="G42" s="42">
        <v>22860</v>
      </c>
      <c r="H42" s="42">
        <v>48258</v>
      </c>
      <c r="I42" s="42">
        <v>25100</v>
      </c>
      <c r="J42" s="42"/>
      <c r="K42" s="42">
        <v>1610</v>
      </c>
      <c r="L42" s="42">
        <f>84490+8150+4028</f>
        <v>96668</v>
      </c>
      <c r="M42" s="42" t="s">
        <v>836</v>
      </c>
      <c r="N42" s="42">
        <v>102</v>
      </c>
      <c r="O42" s="42" t="s">
        <v>836</v>
      </c>
      <c r="P42" s="42">
        <v>1450</v>
      </c>
      <c r="Q42" s="385" t="s">
        <v>1214</v>
      </c>
    </row>
    <row r="43" spans="1:17" s="315" customFormat="1" ht="10.5" customHeight="1">
      <c r="A43" s="543" t="s">
        <v>1207</v>
      </c>
      <c r="B43" s="543"/>
      <c r="C43" s="532">
        <f>11439/180</f>
        <v>63.55</v>
      </c>
      <c r="D43" s="534">
        <v>3820</v>
      </c>
      <c r="E43" s="534">
        <v>1446</v>
      </c>
      <c r="F43" s="534" t="s">
        <v>836</v>
      </c>
      <c r="G43" s="534">
        <v>20140</v>
      </c>
      <c r="H43" s="534">
        <v>42909</v>
      </c>
      <c r="I43" s="534">
        <v>26239</v>
      </c>
      <c r="J43" s="534"/>
      <c r="K43" s="534">
        <v>21244</v>
      </c>
      <c r="L43" s="534">
        <f>92046+11090+5908</f>
        <v>109044</v>
      </c>
      <c r="M43" s="534" t="s">
        <v>836</v>
      </c>
      <c r="N43" s="534">
        <v>116</v>
      </c>
      <c r="O43" s="534" t="s">
        <v>1260</v>
      </c>
      <c r="P43" s="534">
        <v>1400</v>
      </c>
      <c r="Q43" s="544" t="s">
        <v>1207</v>
      </c>
    </row>
    <row r="44" spans="1:17" s="315" customFormat="1" ht="10.5" customHeight="1">
      <c r="A44" s="843" t="s">
        <v>1215</v>
      </c>
      <c r="B44" s="843"/>
      <c r="C44" s="1254">
        <v>65</v>
      </c>
      <c r="D44" s="1075">
        <v>3828</v>
      </c>
      <c r="E44" s="1075">
        <v>914</v>
      </c>
      <c r="F44" s="1075" t="s">
        <v>836</v>
      </c>
      <c r="G44" s="1075">
        <v>27220</v>
      </c>
      <c r="H44" s="1075">
        <v>42259</v>
      </c>
      <c r="I44" s="1075">
        <v>28112</v>
      </c>
      <c r="J44" s="1075"/>
      <c r="K44" s="1075">
        <v>32899</v>
      </c>
      <c r="L44" s="1075">
        <f>125104+9820+4506</f>
        <v>139430</v>
      </c>
      <c r="M44" s="1075" t="s">
        <v>836</v>
      </c>
      <c r="N44" s="1075">
        <v>163</v>
      </c>
      <c r="O44" s="1075" t="s">
        <v>836</v>
      </c>
      <c r="P44" s="1075">
        <v>1529</v>
      </c>
      <c r="Q44" s="593" t="s">
        <v>1215</v>
      </c>
    </row>
    <row r="45" spans="1:17" s="315" customFormat="1" ht="10.5" customHeight="1">
      <c r="A45" s="543" t="s">
        <v>1216</v>
      </c>
      <c r="B45" s="543"/>
      <c r="C45" s="532">
        <v>60</v>
      </c>
      <c r="D45" s="530">
        <v>3844</v>
      </c>
      <c r="E45" s="530">
        <v>844</v>
      </c>
      <c r="F45" s="530" t="s">
        <v>836</v>
      </c>
      <c r="G45" s="530">
        <v>21320</v>
      </c>
      <c r="H45" s="530">
        <v>43033</v>
      </c>
      <c r="I45" s="530">
        <v>27025</v>
      </c>
      <c r="J45" s="530"/>
      <c r="K45" s="530">
        <v>16737</v>
      </c>
      <c r="L45" s="530">
        <f>96677+9220+6863</f>
        <v>112760</v>
      </c>
      <c r="M45" s="530" t="s">
        <v>836</v>
      </c>
      <c r="N45" s="530">
        <v>141</v>
      </c>
      <c r="O45" s="530" t="s">
        <v>836</v>
      </c>
      <c r="P45" s="530">
        <v>1566</v>
      </c>
      <c r="Q45" s="544" t="s">
        <v>1216</v>
      </c>
    </row>
    <row r="46" spans="1:17" s="315" customFormat="1" ht="10.5" customHeight="1">
      <c r="A46" s="315" t="s">
        <v>1208</v>
      </c>
      <c r="C46" s="739">
        <v>62</v>
      </c>
      <c r="D46" s="482">
        <v>3668</v>
      </c>
      <c r="E46" s="482">
        <v>1214</v>
      </c>
      <c r="F46" s="482" t="s">
        <v>836</v>
      </c>
      <c r="G46" s="482">
        <v>20260</v>
      </c>
      <c r="H46" s="482">
        <v>45512</v>
      </c>
      <c r="I46" s="482">
        <v>25146</v>
      </c>
      <c r="J46" s="482"/>
      <c r="K46" s="482">
        <v>4241</v>
      </c>
      <c r="L46" s="482">
        <f>98948+4825+7322</f>
        <v>111095</v>
      </c>
      <c r="M46" s="482" t="s">
        <v>836</v>
      </c>
      <c r="N46" s="482">
        <v>163</v>
      </c>
      <c r="O46" s="482" t="s">
        <v>836</v>
      </c>
      <c r="P46" s="482">
        <v>1575</v>
      </c>
      <c r="Q46" s="385" t="s">
        <v>1208</v>
      </c>
    </row>
    <row r="47" spans="1:17" s="315" customFormat="1" ht="10.5" customHeight="1">
      <c r="A47" s="543" t="s">
        <v>1217</v>
      </c>
      <c r="B47" s="543"/>
      <c r="C47" s="532">
        <v>62</v>
      </c>
      <c r="D47" s="530">
        <v>3693</v>
      </c>
      <c r="E47" s="530">
        <v>785</v>
      </c>
      <c r="F47" s="530" t="s">
        <v>836</v>
      </c>
      <c r="G47" s="530">
        <v>23520</v>
      </c>
      <c r="H47" s="530">
        <v>47710</v>
      </c>
      <c r="I47" s="530">
        <v>26032</v>
      </c>
      <c r="J47" s="530"/>
      <c r="K47" s="530">
        <v>719</v>
      </c>
      <c r="L47" s="530">
        <f>48383+2850+13276</f>
        <v>64509</v>
      </c>
      <c r="M47" s="530" t="s">
        <v>836</v>
      </c>
      <c r="N47" s="530">
        <v>97</v>
      </c>
      <c r="O47" s="530" t="s">
        <v>836</v>
      </c>
      <c r="P47" s="530">
        <v>1595</v>
      </c>
      <c r="Q47" s="544" t="s">
        <v>1217</v>
      </c>
    </row>
    <row r="48" spans="1:17" s="315" customFormat="1" ht="10.5" customHeight="1">
      <c r="A48" s="315" t="s">
        <v>1218</v>
      </c>
      <c r="C48" s="739">
        <v>61</v>
      </c>
      <c r="D48" s="482">
        <v>3849</v>
      </c>
      <c r="E48" s="482">
        <v>1044</v>
      </c>
      <c r="F48" s="482" t="s">
        <v>836</v>
      </c>
      <c r="G48" s="482">
        <v>30750</v>
      </c>
      <c r="H48" s="482">
        <v>59133</v>
      </c>
      <c r="I48" s="482">
        <v>26495</v>
      </c>
      <c r="J48" s="482"/>
      <c r="K48" s="482">
        <v>0</v>
      </c>
      <c r="L48" s="482">
        <f>58654+6180+5717</f>
        <v>70551</v>
      </c>
      <c r="M48" s="482" t="s">
        <v>836</v>
      </c>
      <c r="N48" s="482">
        <v>135</v>
      </c>
      <c r="O48" s="482" t="s">
        <v>836</v>
      </c>
      <c r="P48" s="482">
        <v>1565</v>
      </c>
      <c r="Q48" s="385" t="s">
        <v>1218</v>
      </c>
    </row>
    <row r="49" spans="1:17" s="315" customFormat="1" ht="10.5" customHeight="1">
      <c r="A49" s="543" t="s">
        <v>1209</v>
      </c>
      <c r="B49" s="543"/>
      <c r="C49" s="532">
        <v>61</v>
      </c>
      <c r="D49" s="530">
        <v>4016</v>
      </c>
      <c r="E49" s="530">
        <v>822</v>
      </c>
      <c r="F49" s="530" t="s">
        <v>836</v>
      </c>
      <c r="G49" s="530">
        <v>12810</v>
      </c>
      <c r="H49" s="530">
        <v>76871</v>
      </c>
      <c r="I49" s="530">
        <v>21433</v>
      </c>
      <c r="J49" s="530"/>
      <c r="K49" s="530">
        <v>0</v>
      </c>
      <c r="L49" s="530">
        <f>38724+7675+602</f>
        <v>47001</v>
      </c>
      <c r="M49" s="530" t="s">
        <v>836</v>
      </c>
      <c r="N49" s="530">
        <v>123</v>
      </c>
      <c r="O49" s="530" t="s">
        <v>836</v>
      </c>
      <c r="P49" s="530">
        <v>1555</v>
      </c>
      <c r="Q49" s="544" t="s">
        <v>1209</v>
      </c>
    </row>
    <row r="50" spans="1:17" s="315" customFormat="1" ht="10.5" customHeight="1">
      <c r="A50" s="353" t="s">
        <v>2608</v>
      </c>
      <c r="C50" s="660">
        <f>SUM(C51:C62)</f>
        <v>892</v>
      </c>
      <c r="D50" s="660">
        <f>SUM(D51:D62)</f>
        <v>47444</v>
      </c>
      <c r="E50" s="660">
        <f>SUM(E51:E62)</f>
        <v>10577</v>
      </c>
      <c r="F50" s="918"/>
      <c r="G50" s="660">
        <f>SUM(G51:G62)</f>
        <v>224210</v>
      </c>
      <c r="H50" s="660">
        <f>SUM(H51:H62)</f>
        <v>728260</v>
      </c>
      <c r="I50" s="660">
        <f>SUM(I51:I62)</f>
        <v>278952</v>
      </c>
      <c r="J50" s="918"/>
      <c r="K50" s="660">
        <f>SUM(K51:K62)</f>
        <v>58219.3</v>
      </c>
      <c r="L50" s="660">
        <f>SUM(L51:L62)</f>
        <v>1010446</v>
      </c>
      <c r="M50" s="918"/>
      <c r="N50" s="660">
        <f>SUM(N51:N62)</f>
        <v>1363</v>
      </c>
      <c r="O50" s="918"/>
      <c r="P50" s="660">
        <f>SUM(P51:P62)</f>
        <v>19506</v>
      </c>
      <c r="Q50" s="865" t="s">
        <v>2608</v>
      </c>
    </row>
    <row r="51" spans="1:17" s="315" customFormat="1" ht="10.7" customHeight="1">
      <c r="A51" s="543" t="s">
        <v>1211</v>
      </c>
      <c r="B51" s="543"/>
      <c r="C51" s="532">
        <v>58</v>
      </c>
      <c r="D51" s="530">
        <v>3780</v>
      </c>
      <c r="E51" s="530">
        <v>1060</v>
      </c>
      <c r="F51" s="530" t="s">
        <v>836</v>
      </c>
      <c r="G51" s="530">
        <v>8300</v>
      </c>
      <c r="H51" s="530">
        <v>64371</v>
      </c>
      <c r="I51" s="530">
        <v>20610</v>
      </c>
      <c r="J51" s="530"/>
      <c r="K51" s="530">
        <v>0</v>
      </c>
      <c r="L51" s="530">
        <f>36847+6900+1486</f>
        <v>45233</v>
      </c>
      <c r="M51" s="530" t="s">
        <v>836</v>
      </c>
      <c r="N51" s="530">
        <v>114</v>
      </c>
      <c r="O51" s="530" t="s">
        <v>836</v>
      </c>
      <c r="P51" s="530">
        <v>1455</v>
      </c>
      <c r="Q51" s="544" t="s">
        <v>1211</v>
      </c>
    </row>
    <row r="52" spans="1:17" s="315" customFormat="1" ht="10.7" customHeight="1">
      <c r="A52" s="315" t="s">
        <v>1212</v>
      </c>
      <c r="C52" s="739">
        <v>68</v>
      </c>
      <c r="D52" s="482">
        <v>3993</v>
      </c>
      <c r="E52" s="482">
        <v>929</v>
      </c>
      <c r="F52" s="482" t="s">
        <v>836</v>
      </c>
      <c r="G52" s="482">
        <v>17740</v>
      </c>
      <c r="H52" s="482">
        <v>60786</v>
      </c>
      <c r="I52" s="482">
        <v>25839</v>
      </c>
      <c r="J52" s="482"/>
      <c r="K52" s="482">
        <v>0</v>
      </c>
      <c r="L52" s="482">
        <f>45534+10795+9577</f>
        <v>65906</v>
      </c>
      <c r="M52" s="482" t="s">
        <v>836</v>
      </c>
      <c r="N52" s="482">
        <v>149</v>
      </c>
      <c r="O52" s="482" t="s">
        <v>836</v>
      </c>
      <c r="P52" s="482">
        <v>1495</v>
      </c>
      <c r="Q52" s="385" t="s">
        <v>1212</v>
      </c>
    </row>
    <row r="53" spans="1:17" s="315" customFormat="1" ht="10.7" customHeight="1">
      <c r="A53" s="543" t="s">
        <v>1206</v>
      </c>
      <c r="B53" s="543"/>
      <c r="C53" s="532">
        <v>70</v>
      </c>
      <c r="D53" s="530">
        <v>3856</v>
      </c>
      <c r="E53" s="530">
        <v>955</v>
      </c>
      <c r="F53" s="530" t="s">
        <v>836</v>
      </c>
      <c r="G53" s="530">
        <v>19510</v>
      </c>
      <c r="H53" s="530">
        <v>71803</v>
      </c>
      <c r="I53" s="530">
        <v>21211</v>
      </c>
      <c r="J53" s="530"/>
      <c r="K53" s="530">
        <v>0</v>
      </c>
      <c r="L53" s="530">
        <f>48195+8612+10025</f>
        <v>66832</v>
      </c>
      <c r="M53" s="530" t="s">
        <v>836</v>
      </c>
      <c r="N53" s="530">
        <v>147</v>
      </c>
      <c r="O53" s="530" t="s">
        <v>836</v>
      </c>
      <c r="P53" s="530">
        <v>1555</v>
      </c>
      <c r="Q53" s="544" t="s">
        <v>1206</v>
      </c>
    </row>
    <row r="54" spans="1:17" s="315" customFormat="1" ht="10.7" customHeight="1">
      <c r="A54" s="315" t="s">
        <v>1213</v>
      </c>
      <c r="C54" s="739">
        <v>77</v>
      </c>
      <c r="D54" s="482">
        <v>3964</v>
      </c>
      <c r="E54" s="482">
        <v>852</v>
      </c>
      <c r="F54" s="482" t="s">
        <v>836</v>
      </c>
      <c r="G54" s="482">
        <v>23120</v>
      </c>
      <c r="H54" s="482">
        <v>66045</v>
      </c>
      <c r="I54" s="482">
        <v>26059</v>
      </c>
      <c r="J54" s="482"/>
      <c r="K54" s="482">
        <v>0</v>
      </c>
      <c r="L54" s="482">
        <f>74503+8699+8387</f>
        <v>91589</v>
      </c>
      <c r="M54" s="482"/>
      <c r="N54" s="482">
        <v>133</v>
      </c>
      <c r="O54" s="482" t="s">
        <v>836</v>
      </c>
      <c r="P54" s="482">
        <v>1591</v>
      </c>
      <c r="Q54" s="385" t="s">
        <v>1213</v>
      </c>
    </row>
    <row r="55" spans="1:17" s="315" customFormat="1" ht="10.7" customHeight="1">
      <c r="A55" s="543" t="s">
        <v>1214</v>
      </c>
      <c r="B55" s="543"/>
      <c r="C55" s="530">
        <v>80</v>
      </c>
      <c r="D55" s="530">
        <v>3869</v>
      </c>
      <c r="E55" s="530">
        <v>924</v>
      </c>
      <c r="F55" s="530" t="s">
        <v>836</v>
      </c>
      <c r="G55" s="530">
        <v>15730</v>
      </c>
      <c r="H55" s="530">
        <v>50051</v>
      </c>
      <c r="I55" s="530">
        <v>24656</v>
      </c>
      <c r="J55" s="530"/>
      <c r="K55" s="530">
        <v>7211</v>
      </c>
      <c r="L55" s="530">
        <f>80888+8570+1651</f>
        <v>91109</v>
      </c>
      <c r="M55" s="530" t="s">
        <v>836</v>
      </c>
      <c r="N55" s="530">
        <v>144</v>
      </c>
      <c r="O55" s="530" t="s">
        <v>836</v>
      </c>
      <c r="P55" s="530">
        <v>1519</v>
      </c>
      <c r="Q55" s="544" t="s">
        <v>1214</v>
      </c>
    </row>
    <row r="56" spans="1:17" s="315" customFormat="1" ht="10.7" customHeight="1">
      <c r="A56" s="315" t="s">
        <v>1207</v>
      </c>
      <c r="C56" s="42">
        <v>80</v>
      </c>
      <c r="D56" s="42">
        <v>4048</v>
      </c>
      <c r="E56" s="42">
        <v>1000</v>
      </c>
      <c r="F56" s="482" t="s">
        <v>836</v>
      </c>
      <c r="G56" s="42">
        <v>18180</v>
      </c>
      <c r="H56" s="42">
        <v>60347</v>
      </c>
      <c r="I56" s="42">
        <v>25567</v>
      </c>
      <c r="K56" s="256">
        <v>19719.75</v>
      </c>
      <c r="L56" s="42">
        <f>111919+8973+7193</f>
        <v>128085</v>
      </c>
      <c r="M56" s="42" t="s">
        <v>836</v>
      </c>
      <c r="N56" s="42">
        <v>143</v>
      </c>
      <c r="O56" s="42" t="s">
        <v>836</v>
      </c>
      <c r="P56" s="42">
        <v>1580</v>
      </c>
      <c r="Q56" s="385" t="s">
        <v>1207</v>
      </c>
    </row>
    <row r="57" spans="1:17" s="315" customFormat="1" ht="10.7" customHeight="1">
      <c r="A57" s="543" t="s">
        <v>1215</v>
      </c>
      <c r="B57" s="543"/>
      <c r="C57" s="530">
        <v>79</v>
      </c>
      <c r="D57" s="530">
        <v>3945</v>
      </c>
      <c r="E57" s="530">
        <v>872</v>
      </c>
      <c r="F57" s="530" t="s">
        <v>836</v>
      </c>
      <c r="G57" s="530">
        <v>16300</v>
      </c>
      <c r="H57" s="530">
        <v>52278</v>
      </c>
      <c r="I57" s="530">
        <v>25905</v>
      </c>
      <c r="J57" s="530"/>
      <c r="K57" s="532">
        <v>25732.3</v>
      </c>
      <c r="L57" s="530">
        <f>103023+4923+16899</f>
        <v>124845</v>
      </c>
      <c r="M57" s="530" t="s">
        <v>836</v>
      </c>
      <c r="N57" s="530">
        <v>103</v>
      </c>
      <c r="O57" s="530" t="s">
        <v>836</v>
      </c>
      <c r="P57" s="530">
        <v>1615</v>
      </c>
      <c r="Q57" s="544" t="s">
        <v>1215</v>
      </c>
    </row>
    <row r="58" spans="1:17" s="315" customFormat="1" ht="10.7" customHeight="1">
      <c r="A58" s="315" t="s">
        <v>1216</v>
      </c>
      <c r="C58" s="482">
        <v>80</v>
      </c>
      <c r="D58" s="482">
        <v>4061</v>
      </c>
      <c r="E58" s="42">
        <v>712</v>
      </c>
      <c r="F58" s="482" t="s">
        <v>836</v>
      </c>
      <c r="G58" s="482">
        <v>20300</v>
      </c>
      <c r="H58" s="482">
        <v>59971</v>
      </c>
      <c r="I58" s="482">
        <v>23798</v>
      </c>
      <c r="J58" s="482"/>
      <c r="K58" s="482">
        <v>5188.3999999999996</v>
      </c>
      <c r="L58" s="42">
        <f>92533+888+14915</f>
        <v>108336</v>
      </c>
      <c r="M58" s="42" t="s">
        <v>836</v>
      </c>
      <c r="N58" s="42">
        <v>81</v>
      </c>
      <c r="O58" s="482" t="s">
        <v>836</v>
      </c>
      <c r="P58" s="482">
        <v>1653</v>
      </c>
      <c r="Q58" s="385" t="s">
        <v>1216</v>
      </c>
    </row>
    <row r="59" spans="1:17" s="315" customFormat="1" ht="10.7" customHeight="1">
      <c r="A59" s="543" t="s">
        <v>1208</v>
      </c>
      <c r="B59" s="543"/>
      <c r="C59" s="530">
        <v>79</v>
      </c>
      <c r="D59" s="530">
        <v>4022</v>
      </c>
      <c r="E59" s="534">
        <v>800</v>
      </c>
      <c r="F59" s="530" t="s">
        <v>836</v>
      </c>
      <c r="G59" s="530">
        <v>20370</v>
      </c>
      <c r="H59" s="530">
        <v>64297</v>
      </c>
      <c r="I59" s="530">
        <v>24057</v>
      </c>
      <c r="J59" s="530"/>
      <c r="K59" s="532">
        <v>367.85</v>
      </c>
      <c r="L59" s="534">
        <f>100788+918+10299</f>
        <v>112005</v>
      </c>
      <c r="M59" s="1435" t="s">
        <v>836</v>
      </c>
      <c r="N59" s="534">
        <v>96</v>
      </c>
      <c r="O59" s="530" t="s">
        <v>836</v>
      </c>
      <c r="P59" s="530">
        <v>1710</v>
      </c>
      <c r="Q59" s="544" t="s">
        <v>1208</v>
      </c>
    </row>
    <row r="60" spans="1:17" s="315" customFormat="1" ht="10.7" customHeight="1">
      <c r="A60" s="315" t="s">
        <v>1217</v>
      </c>
      <c r="C60" s="482">
        <v>78</v>
      </c>
      <c r="D60" s="482">
        <v>3977</v>
      </c>
      <c r="E60" s="42">
        <v>640</v>
      </c>
      <c r="F60" s="482" t="s">
        <v>836</v>
      </c>
      <c r="G60" s="482">
        <v>23550</v>
      </c>
      <c r="H60" s="482">
        <v>54584</v>
      </c>
      <c r="I60" s="482">
        <v>23259</v>
      </c>
      <c r="J60" s="482"/>
      <c r="K60" s="482">
        <v>0</v>
      </c>
      <c r="L60" s="42">
        <f>41792+5595+5479</f>
        <v>52866</v>
      </c>
      <c r="M60" s="482" t="s">
        <v>836</v>
      </c>
      <c r="N60" s="42">
        <v>100</v>
      </c>
      <c r="O60" s="482" t="s">
        <v>836</v>
      </c>
      <c r="P60" s="482">
        <v>1748</v>
      </c>
      <c r="Q60" s="385" t="s">
        <v>1217</v>
      </c>
    </row>
    <row r="61" spans="1:17" s="315" customFormat="1" ht="10.7" customHeight="1">
      <c r="A61" s="543" t="s">
        <v>1218</v>
      </c>
      <c r="B61" s="543"/>
      <c r="C61" s="530">
        <v>72</v>
      </c>
      <c r="D61" s="530">
        <v>3947</v>
      </c>
      <c r="E61" s="534">
        <v>889</v>
      </c>
      <c r="F61" s="530"/>
      <c r="G61" s="530">
        <v>26630</v>
      </c>
      <c r="H61" s="530">
        <v>64400</v>
      </c>
      <c r="I61" s="530">
        <v>19031</v>
      </c>
      <c r="J61" s="530"/>
      <c r="K61" s="530">
        <v>0</v>
      </c>
      <c r="L61" s="534">
        <f>43124+14260+7108</f>
        <v>64492</v>
      </c>
      <c r="M61" s="530" t="s">
        <v>836</v>
      </c>
      <c r="N61" s="534">
        <v>84</v>
      </c>
      <c r="O61" s="530" t="s">
        <v>836</v>
      </c>
      <c r="P61" s="530">
        <v>1780</v>
      </c>
      <c r="Q61" s="544" t="s">
        <v>1218</v>
      </c>
    </row>
    <row r="62" spans="1:17" s="315" customFormat="1" ht="10.7" customHeight="1">
      <c r="A62" s="315" t="s">
        <v>1209</v>
      </c>
      <c r="C62" s="482">
        <v>71</v>
      </c>
      <c r="D62" s="482">
        <v>3982</v>
      </c>
      <c r="E62" s="42">
        <v>944</v>
      </c>
      <c r="F62" s="482" t="s">
        <v>836</v>
      </c>
      <c r="G62" s="482">
        <v>14480</v>
      </c>
      <c r="H62" s="482">
        <v>59327</v>
      </c>
      <c r="I62" s="482">
        <v>18960</v>
      </c>
      <c r="J62" s="482"/>
      <c r="K62" s="482">
        <v>0</v>
      </c>
      <c r="L62" s="42">
        <f>34454+14536+10158</f>
        <v>59148</v>
      </c>
      <c r="M62" s="482" t="s">
        <v>836</v>
      </c>
      <c r="N62" s="42">
        <v>69</v>
      </c>
      <c r="O62" s="482" t="s">
        <v>836</v>
      </c>
      <c r="P62" s="482">
        <v>1805</v>
      </c>
      <c r="Q62" s="385" t="s">
        <v>1209</v>
      </c>
    </row>
    <row r="63" spans="1:17" s="315" customFormat="1" ht="10.7" customHeight="1">
      <c r="A63" s="545" t="s">
        <v>2809</v>
      </c>
      <c r="B63" s="543"/>
      <c r="C63" s="530"/>
      <c r="D63" s="530"/>
      <c r="E63" s="534"/>
      <c r="F63" s="530"/>
      <c r="G63" s="530"/>
      <c r="H63" s="530"/>
      <c r="I63" s="530"/>
      <c r="J63" s="530"/>
      <c r="K63" s="530"/>
      <c r="L63" s="534"/>
      <c r="M63" s="530"/>
      <c r="N63" s="534"/>
      <c r="O63" s="530"/>
      <c r="P63" s="530"/>
      <c r="Q63" s="546" t="s">
        <v>2809</v>
      </c>
    </row>
    <row r="64" spans="1:17" s="315" customFormat="1" ht="10.7" customHeight="1">
      <c r="A64" s="315" t="s">
        <v>1211</v>
      </c>
      <c r="C64" s="482">
        <v>67</v>
      </c>
      <c r="D64" s="482">
        <v>3776</v>
      </c>
      <c r="E64" s="42">
        <v>1415</v>
      </c>
      <c r="F64" s="482" t="s">
        <v>836</v>
      </c>
      <c r="G64" s="482">
        <v>8570</v>
      </c>
      <c r="H64" s="482">
        <v>47409</v>
      </c>
      <c r="I64" s="482">
        <v>20864</v>
      </c>
      <c r="J64" s="482"/>
      <c r="K64" s="482">
        <v>0</v>
      </c>
      <c r="L64" s="42">
        <f>47567+11010+8764</f>
        <v>67341</v>
      </c>
      <c r="M64" s="482" t="s">
        <v>836</v>
      </c>
      <c r="N64" s="42">
        <v>140</v>
      </c>
      <c r="O64" s="482" t="s">
        <v>836</v>
      </c>
      <c r="P64" s="482">
        <v>1815</v>
      </c>
      <c r="Q64" s="385" t="s">
        <v>1211</v>
      </c>
    </row>
    <row r="65" spans="1:17" s="315" customFormat="1" ht="10.7" customHeight="1">
      <c r="A65" s="543" t="s">
        <v>1212</v>
      </c>
      <c r="B65" s="543"/>
      <c r="C65" s="530">
        <v>70</v>
      </c>
      <c r="D65" s="530">
        <v>4468</v>
      </c>
      <c r="E65" s="534">
        <v>1241</v>
      </c>
      <c r="F65" s="530" t="s">
        <v>836</v>
      </c>
      <c r="G65" s="530">
        <v>11280</v>
      </c>
      <c r="H65" s="530">
        <v>65357</v>
      </c>
      <c r="I65" s="530">
        <v>27750</v>
      </c>
      <c r="J65" s="530"/>
      <c r="K65" s="530">
        <v>0</v>
      </c>
      <c r="L65" s="534">
        <f>37967+10554+13601</f>
        <v>62122</v>
      </c>
      <c r="M65" s="534" t="s">
        <v>836</v>
      </c>
      <c r="N65" s="534">
        <v>140</v>
      </c>
      <c r="O65" s="530" t="s">
        <v>836</v>
      </c>
      <c r="P65" s="530">
        <v>1825</v>
      </c>
      <c r="Q65" s="544" t="s">
        <v>1212</v>
      </c>
    </row>
    <row r="66" spans="1:17" s="315" customFormat="1" ht="10.7" customHeight="1">
      <c r="A66" s="315" t="s">
        <v>1206</v>
      </c>
      <c r="C66" s="482">
        <v>68</v>
      </c>
      <c r="D66" s="482">
        <v>3898</v>
      </c>
      <c r="E66" s="42">
        <v>639</v>
      </c>
      <c r="F66" s="482" t="s">
        <v>836</v>
      </c>
      <c r="G66" s="482">
        <v>13880</v>
      </c>
      <c r="H66" s="482">
        <v>49362</v>
      </c>
      <c r="I66" s="482">
        <v>25233</v>
      </c>
      <c r="J66" s="482"/>
      <c r="K66" s="482">
        <v>0</v>
      </c>
      <c r="L66" s="42">
        <f>53472+9600</f>
        <v>63072</v>
      </c>
      <c r="M66" s="42" t="s">
        <v>836</v>
      </c>
      <c r="N66" s="42">
        <v>137</v>
      </c>
      <c r="O66" s="482" t="s">
        <v>836</v>
      </c>
      <c r="P66" s="482">
        <v>1835</v>
      </c>
      <c r="Q66" s="385" t="s">
        <v>1206</v>
      </c>
    </row>
    <row r="67" spans="1:17" s="315" customFormat="1" ht="10.7" customHeight="1" thickBot="1">
      <c r="A67" s="644" t="s">
        <v>1213</v>
      </c>
      <c r="B67" s="644"/>
      <c r="C67" s="1010">
        <v>86</v>
      </c>
      <c r="D67" s="1010">
        <v>3967</v>
      </c>
      <c r="E67" s="645">
        <v>451</v>
      </c>
      <c r="F67" s="1010" t="s">
        <v>836</v>
      </c>
      <c r="G67" s="1010">
        <v>16210</v>
      </c>
      <c r="H67" s="1010">
        <v>56249</v>
      </c>
      <c r="I67" s="1010">
        <v>28282</v>
      </c>
      <c r="J67" s="1010"/>
      <c r="K67" s="1010">
        <v>85</v>
      </c>
      <c r="L67" s="645">
        <f>51682+10728</f>
        <v>62410</v>
      </c>
      <c r="M67" s="645" t="s">
        <v>836</v>
      </c>
      <c r="N67" s="645">
        <v>147</v>
      </c>
      <c r="O67" s="1010" t="s">
        <v>836</v>
      </c>
      <c r="P67" s="1010">
        <v>1835</v>
      </c>
      <c r="Q67" s="1039" t="s">
        <v>1213</v>
      </c>
    </row>
    <row r="68" spans="1:17" s="514" customFormat="1" ht="9" customHeight="1">
      <c r="A68" s="866" t="s">
        <v>1494</v>
      </c>
      <c r="B68" s="867" t="s">
        <v>875</v>
      </c>
      <c r="C68" s="1985" t="s">
        <v>1411</v>
      </c>
      <c r="D68" s="1985"/>
      <c r="E68" s="1985"/>
      <c r="F68" s="1985"/>
      <c r="G68" s="1985"/>
      <c r="H68" s="313"/>
      <c r="I68" s="868" t="s">
        <v>564</v>
      </c>
      <c r="J68" s="869" t="s">
        <v>43</v>
      </c>
      <c r="K68" s="1984" t="s">
        <v>1919</v>
      </c>
      <c r="L68" s="1984"/>
      <c r="M68" s="1984"/>
      <c r="N68" s="1984"/>
      <c r="O68" s="1984"/>
      <c r="P68" s="1984"/>
    </row>
    <row r="69" spans="1:17" s="514" customFormat="1" ht="9" customHeight="1">
      <c r="A69" s="313" t="s">
        <v>1310</v>
      </c>
      <c r="B69" s="313" t="s">
        <v>1120</v>
      </c>
      <c r="C69" s="1986" t="s">
        <v>1413</v>
      </c>
      <c r="D69" s="1986"/>
      <c r="E69" s="1986"/>
      <c r="F69" s="1986"/>
      <c r="G69" s="1986"/>
      <c r="H69" s="1986"/>
      <c r="I69" s="1986"/>
      <c r="J69" s="869" t="s">
        <v>1120</v>
      </c>
      <c r="K69" s="1985" t="s">
        <v>566</v>
      </c>
      <c r="L69" s="1985"/>
      <c r="M69" s="1985"/>
      <c r="N69" s="1985"/>
      <c r="O69" s="1985"/>
      <c r="P69" s="1985"/>
    </row>
    <row r="70" spans="1:17" s="514" customFormat="1" ht="9" customHeight="1">
      <c r="A70" s="869" t="s">
        <v>565</v>
      </c>
      <c r="B70" s="869" t="s">
        <v>846</v>
      </c>
      <c r="C70" s="1986" t="s">
        <v>578</v>
      </c>
      <c r="D70" s="1986"/>
      <c r="E70" s="1986"/>
      <c r="F70" s="1986"/>
      <c r="G70" s="1986"/>
      <c r="H70" s="1986"/>
      <c r="I70" s="1986"/>
      <c r="J70" s="869" t="s">
        <v>846</v>
      </c>
      <c r="K70" s="1986" t="s">
        <v>568</v>
      </c>
      <c r="L70" s="1986"/>
      <c r="M70" s="1986"/>
      <c r="N70" s="1986"/>
      <c r="O70" s="1986"/>
      <c r="P70" s="1986"/>
    </row>
    <row r="71" spans="1:17" s="514" customFormat="1" ht="9" customHeight="1">
      <c r="A71" s="869" t="s">
        <v>567</v>
      </c>
      <c r="B71" s="869" t="s">
        <v>847</v>
      </c>
      <c r="C71" s="1986" t="s">
        <v>579</v>
      </c>
      <c r="D71" s="1986"/>
      <c r="E71" s="1986"/>
      <c r="F71" s="1986"/>
      <c r="G71" s="1986"/>
      <c r="H71" s="1986"/>
      <c r="I71" s="1986"/>
      <c r="J71" s="869" t="s">
        <v>847</v>
      </c>
      <c r="K71" s="1986" t="s">
        <v>570</v>
      </c>
      <c r="L71" s="1986"/>
      <c r="M71" s="1986"/>
      <c r="N71" s="1986"/>
      <c r="O71" s="1986"/>
      <c r="P71" s="1986"/>
    </row>
    <row r="72" spans="1:17" s="514" customFormat="1" ht="9" customHeight="1">
      <c r="A72" s="869" t="s">
        <v>569</v>
      </c>
      <c r="B72" s="869" t="s">
        <v>873</v>
      </c>
      <c r="C72" s="1986" t="s">
        <v>1412</v>
      </c>
      <c r="D72" s="1986"/>
      <c r="E72" s="1986"/>
      <c r="F72" s="1986"/>
      <c r="G72" s="1986"/>
      <c r="H72" s="1986"/>
      <c r="I72" s="1986"/>
      <c r="J72" s="18" t="s">
        <v>557</v>
      </c>
      <c r="K72" s="18"/>
    </row>
  </sheetData>
  <mergeCells count="16">
    <mergeCell ref="C72:I72"/>
    <mergeCell ref="I2:L2"/>
    <mergeCell ref="P1:Q1"/>
    <mergeCell ref="Q3:Q4"/>
    <mergeCell ref="I3:J3"/>
    <mergeCell ref="I4:J4"/>
    <mergeCell ref="C69:I69"/>
    <mergeCell ref="C70:I70"/>
    <mergeCell ref="C71:I71"/>
    <mergeCell ref="A3:B4"/>
    <mergeCell ref="D1:H1"/>
    <mergeCell ref="K68:P68"/>
    <mergeCell ref="K69:P69"/>
    <mergeCell ref="K71:P71"/>
    <mergeCell ref="K70:P70"/>
    <mergeCell ref="C68:G68"/>
  </mergeCells>
  <phoneticPr fontId="3" type="noConversion"/>
  <pageMargins left="0.62992125984252001" right="0.511811023622047" top="0.511811023622047" bottom="0.511811023622047" header="0" footer="0.39370078740157499"/>
  <pageSetup paperSize="512" firstPageNumber="40" orientation="portrait" useFirstPageNumber="1" r:id="rId1"/>
  <headerFooter alignWithMargins="0">
    <oddFooter>&amp;C&amp;"Times New Roman,Regular"&amp;8&amp;P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Q81"/>
  <sheetViews>
    <sheetView zoomScale="120" zoomScaleNormal="12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E20" sqref="E20"/>
    </sheetView>
  </sheetViews>
  <sheetFormatPr defaultColWidth="9.140625" defaultRowHeight="11.25"/>
  <cols>
    <col min="1" max="1" width="10.140625" style="24" customWidth="1"/>
    <col min="2" max="2" width="7.140625" style="10" customWidth="1"/>
    <col min="3" max="3" width="6.7109375" style="10" customWidth="1"/>
    <col min="4" max="4" width="7.42578125" style="10" customWidth="1"/>
    <col min="5" max="5" width="7.7109375" style="10" customWidth="1"/>
    <col min="6" max="6" width="8.140625" style="10" customWidth="1"/>
    <col min="7" max="7" width="8.42578125" style="10" customWidth="1"/>
    <col min="8" max="8" width="7.7109375" style="10" customWidth="1"/>
    <col min="9" max="9" width="7.28515625" style="10" customWidth="1"/>
    <col min="10" max="10" width="8.28515625" style="10" customWidth="1"/>
    <col min="11" max="11" width="9.7109375" style="10" customWidth="1"/>
    <col min="12" max="12" width="9.85546875" style="10" customWidth="1"/>
    <col min="13" max="13" width="10.7109375" style="10" customWidth="1"/>
    <col min="14" max="14" width="10.85546875" style="10" customWidth="1"/>
    <col min="15" max="15" width="10.42578125" style="10" customWidth="1"/>
    <col min="16" max="16" width="13.85546875" style="10" customWidth="1"/>
    <col min="17" max="17" width="10.85546875" style="10" customWidth="1"/>
    <col min="18" max="16384" width="9.140625" style="10"/>
  </cols>
  <sheetData>
    <row r="1" spans="1:17" s="34" customFormat="1" ht="15.75" customHeight="1">
      <c r="B1" s="81"/>
      <c r="C1" s="81"/>
      <c r="D1" s="1972" t="s">
        <v>884</v>
      </c>
      <c r="E1" s="1972"/>
      <c r="F1" s="1972"/>
      <c r="G1" s="1972"/>
      <c r="H1" s="1972"/>
      <c r="I1" s="1972"/>
      <c r="J1" s="1972"/>
      <c r="K1" s="1999" t="s">
        <v>885</v>
      </c>
      <c r="L1" s="1999"/>
      <c r="M1" s="1999"/>
      <c r="N1" s="1999"/>
      <c r="O1" s="1999"/>
      <c r="P1" s="1972" t="s">
        <v>2444</v>
      </c>
      <c r="Q1" s="1972"/>
    </row>
    <row r="2" spans="1:17" s="31" customFormat="1" ht="11.25" customHeight="1">
      <c r="B2" s="15"/>
      <c r="F2" s="15"/>
      <c r="G2" s="1990" t="s">
        <v>2881</v>
      </c>
      <c r="H2" s="1990"/>
      <c r="I2" s="1990"/>
      <c r="J2" s="1990"/>
      <c r="K2" s="1497" t="s">
        <v>2882</v>
      </c>
      <c r="L2" s="15"/>
      <c r="M2" s="15"/>
      <c r="N2" s="15"/>
      <c r="O2" s="15"/>
      <c r="P2" s="15"/>
      <c r="Q2" s="15"/>
    </row>
    <row r="3" spans="1:17" s="125" customFormat="1" ht="12" customHeight="1">
      <c r="A3" s="1956" t="s">
        <v>1132</v>
      </c>
      <c r="B3" s="26" t="s">
        <v>1152</v>
      </c>
      <c r="C3" s="1994" t="s">
        <v>1154</v>
      </c>
      <c r="D3" s="1995"/>
      <c r="E3" s="26" t="s">
        <v>1152</v>
      </c>
      <c r="F3" s="1994" t="s">
        <v>243</v>
      </c>
      <c r="G3" s="1995"/>
      <c r="H3" s="26" t="s">
        <v>1152</v>
      </c>
      <c r="I3" s="1994" t="s">
        <v>244</v>
      </c>
      <c r="J3" s="1995"/>
      <c r="K3" s="1994" t="s">
        <v>476</v>
      </c>
      <c r="L3" s="1997"/>
      <c r="M3" s="1997"/>
      <c r="N3" s="1997"/>
      <c r="O3" s="1997"/>
      <c r="P3" s="1997"/>
      <c r="Q3" s="1995"/>
    </row>
    <row r="4" spans="1:17" s="125" customFormat="1" ht="12.75" customHeight="1">
      <c r="A4" s="1949"/>
      <c r="B4" s="2007" t="s">
        <v>1153</v>
      </c>
      <c r="C4" s="1996" t="s">
        <v>245</v>
      </c>
      <c r="D4" s="1992" t="s">
        <v>246</v>
      </c>
      <c r="E4" s="1996" t="s">
        <v>1149</v>
      </c>
      <c r="F4" s="1992" t="s">
        <v>245</v>
      </c>
      <c r="G4" s="1996" t="s">
        <v>246</v>
      </c>
      <c r="H4" s="1992" t="s">
        <v>767</v>
      </c>
      <c r="I4" s="1996" t="s">
        <v>268</v>
      </c>
      <c r="J4" s="1996" t="s">
        <v>246</v>
      </c>
      <c r="K4" s="1956" t="s">
        <v>35</v>
      </c>
      <c r="L4" s="2000" t="s">
        <v>36</v>
      </c>
      <c r="M4" s="1991" t="s">
        <v>1881</v>
      </c>
      <c r="N4" s="1991" t="s">
        <v>37</v>
      </c>
      <c r="O4" s="1991" t="s">
        <v>768</v>
      </c>
      <c r="P4" s="1998" t="s">
        <v>769</v>
      </c>
      <c r="Q4" s="1991" t="s">
        <v>1882</v>
      </c>
    </row>
    <row r="5" spans="1:17" s="125" customFormat="1" ht="24.75" customHeight="1">
      <c r="A5" s="1949"/>
      <c r="B5" s="2008"/>
      <c r="C5" s="1996"/>
      <c r="D5" s="1993"/>
      <c r="E5" s="1996"/>
      <c r="F5" s="1993"/>
      <c r="G5" s="1996"/>
      <c r="H5" s="1993"/>
      <c r="I5" s="1996"/>
      <c r="J5" s="1996"/>
      <c r="K5" s="1950"/>
      <c r="L5" s="2000"/>
      <c r="M5" s="1991"/>
      <c r="N5" s="1991"/>
      <c r="O5" s="1991"/>
      <c r="P5" s="1998"/>
      <c r="Q5" s="1991"/>
    </row>
    <row r="6" spans="1:17" ht="11.1" customHeight="1">
      <c r="A6" s="133" t="s">
        <v>1220</v>
      </c>
      <c r="B6" s="134">
        <v>100</v>
      </c>
      <c r="C6" s="2005" t="s">
        <v>369</v>
      </c>
      <c r="D6" s="2006"/>
      <c r="E6" s="134">
        <v>58.84</v>
      </c>
      <c r="F6" s="2004" t="s">
        <v>369</v>
      </c>
      <c r="G6" s="2004"/>
      <c r="H6" s="134">
        <v>41.16</v>
      </c>
      <c r="I6" s="2004" t="s">
        <v>369</v>
      </c>
      <c r="J6" s="2004"/>
      <c r="K6" s="134">
        <v>6.85</v>
      </c>
      <c r="L6" s="134">
        <v>16.87</v>
      </c>
      <c r="M6" s="134">
        <v>2.67</v>
      </c>
      <c r="N6" s="134">
        <v>2.84</v>
      </c>
      <c r="O6" s="134">
        <v>4.17</v>
      </c>
      <c r="P6" s="134">
        <v>4.13</v>
      </c>
      <c r="Q6" s="134">
        <v>3.63</v>
      </c>
    </row>
    <row r="7" spans="1:17" s="130" customFormat="1" ht="10.5" hidden="1" customHeight="1">
      <c r="A7" s="552" t="s">
        <v>155</v>
      </c>
      <c r="B7" s="580">
        <v>120.94</v>
      </c>
      <c r="C7" s="580" t="s">
        <v>1257</v>
      </c>
      <c r="D7" s="580">
        <v>7.06</v>
      </c>
      <c r="E7" s="580">
        <v>125.16</v>
      </c>
      <c r="F7" s="580" t="s">
        <v>1257</v>
      </c>
      <c r="G7" s="580">
        <v>9.3000000000000007</v>
      </c>
      <c r="H7" s="580">
        <v>115.1</v>
      </c>
      <c r="I7" s="580" t="s">
        <v>1257</v>
      </c>
      <c r="J7" s="580">
        <v>3.95</v>
      </c>
      <c r="K7" s="580">
        <v>114.03</v>
      </c>
      <c r="L7" s="580">
        <v>114.61</v>
      </c>
      <c r="M7" s="580">
        <v>116.06</v>
      </c>
      <c r="N7" s="580">
        <v>115.39</v>
      </c>
      <c r="O7" s="580">
        <v>120.7</v>
      </c>
      <c r="P7" s="580">
        <v>113.99</v>
      </c>
      <c r="Q7" s="580">
        <v>114.94</v>
      </c>
    </row>
    <row r="8" spans="1:17" s="130" customFormat="1" ht="10.5" hidden="1" customHeight="1">
      <c r="A8" s="449" t="s">
        <v>156</v>
      </c>
      <c r="B8" s="20">
        <v>124.31</v>
      </c>
      <c r="C8" s="20" t="s">
        <v>1257</v>
      </c>
      <c r="D8" s="20">
        <v>2.79</v>
      </c>
      <c r="E8" s="20">
        <v>128.52000000000001</v>
      </c>
      <c r="F8" s="20" t="s">
        <v>1257</v>
      </c>
      <c r="G8" s="20">
        <v>2.68</v>
      </c>
      <c r="H8" s="20">
        <v>118.64</v>
      </c>
      <c r="I8" s="20" t="s">
        <v>1257</v>
      </c>
      <c r="J8" s="20">
        <v>3.08</v>
      </c>
      <c r="K8" s="20">
        <v>118.45</v>
      </c>
      <c r="L8" s="20">
        <v>116.31</v>
      </c>
      <c r="M8" s="20">
        <v>118.21</v>
      </c>
      <c r="N8" s="20">
        <v>122.55</v>
      </c>
      <c r="O8" s="20">
        <v>127.9</v>
      </c>
      <c r="P8" s="20">
        <v>119.79</v>
      </c>
      <c r="Q8" s="20">
        <v>116.91</v>
      </c>
    </row>
    <row r="9" spans="1:17" s="130" customFormat="1" ht="10.5" hidden="1" customHeight="1">
      <c r="A9" s="552" t="s">
        <v>1258</v>
      </c>
      <c r="B9" s="580">
        <v>126.72</v>
      </c>
      <c r="C9" s="580">
        <v>1.66</v>
      </c>
      <c r="D9" s="580">
        <v>1.94</v>
      </c>
      <c r="E9" s="580">
        <v>130.30000000000001</v>
      </c>
      <c r="F9" s="580">
        <v>0.87</v>
      </c>
      <c r="G9" s="580">
        <v>1.39</v>
      </c>
      <c r="H9" s="580">
        <v>122.25</v>
      </c>
      <c r="I9" s="580">
        <v>3.14</v>
      </c>
      <c r="J9" s="580">
        <v>3.05</v>
      </c>
      <c r="K9" s="580">
        <v>121.94</v>
      </c>
      <c r="L9" s="580">
        <v>119.41</v>
      </c>
      <c r="M9" s="580">
        <v>120.92</v>
      </c>
      <c r="N9" s="580">
        <v>129.82</v>
      </c>
      <c r="O9" s="580">
        <v>135.91999999999999</v>
      </c>
      <c r="P9" s="580">
        <v>121.69</v>
      </c>
      <c r="Q9" s="580">
        <v>119.29</v>
      </c>
    </row>
    <row r="10" spans="1:17" s="130" customFormat="1" ht="10.5" hidden="1" customHeight="1">
      <c r="A10" s="449" t="s">
        <v>1259</v>
      </c>
      <c r="B10" s="20">
        <v>130.26</v>
      </c>
      <c r="C10" s="20">
        <v>3.58</v>
      </c>
      <c r="D10" s="20">
        <v>2.79</v>
      </c>
      <c r="E10" s="20">
        <v>132.43</v>
      </c>
      <c r="F10" s="20">
        <v>1.94</v>
      </c>
      <c r="G10" s="20">
        <v>1.63</v>
      </c>
      <c r="H10" s="20">
        <v>127.89</v>
      </c>
      <c r="I10" s="20">
        <v>4.1399999999999997</v>
      </c>
      <c r="J10" s="20">
        <v>4.6100000000000003</v>
      </c>
      <c r="K10" s="20">
        <v>124.62</v>
      </c>
      <c r="L10" s="20">
        <v>124.95</v>
      </c>
      <c r="M10" s="20">
        <v>126.07</v>
      </c>
      <c r="N10" s="20">
        <v>136.22</v>
      </c>
      <c r="O10" s="20">
        <v>144.36000000000001</v>
      </c>
      <c r="P10" s="20">
        <v>131.03</v>
      </c>
      <c r="Q10" s="20">
        <v>123.47</v>
      </c>
    </row>
    <row r="11" spans="1:17" s="130" customFormat="1" ht="10.5" customHeight="1">
      <c r="A11" s="552" t="s">
        <v>226</v>
      </c>
      <c r="B11" s="580">
        <v>135.97</v>
      </c>
      <c r="C11" s="580">
        <v>5.03</v>
      </c>
      <c r="D11" s="580">
        <v>4.38</v>
      </c>
      <c r="E11" s="580">
        <v>137.01</v>
      </c>
      <c r="F11" s="580">
        <v>5.22</v>
      </c>
      <c r="G11" s="580">
        <v>3.46</v>
      </c>
      <c r="H11" s="580">
        <v>135.13</v>
      </c>
      <c r="I11" s="580">
        <v>4.68</v>
      </c>
      <c r="J11" s="580">
        <v>5.66</v>
      </c>
      <c r="K11" s="580">
        <v>130.55000000000001</v>
      </c>
      <c r="L11" s="580">
        <v>131.19999999999999</v>
      </c>
      <c r="M11" s="580">
        <v>132.32</v>
      </c>
      <c r="N11" s="580">
        <v>145.25</v>
      </c>
      <c r="O11" s="580">
        <v>159.52000000000001</v>
      </c>
      <c r="P11" s="580">
        <v>136.94</v>
      </c>
      <c r="Q11" s="580">
        <v>129.4</v>
      </c>
    </row>
    <row r="12" spans="1:17" s="130" customFormat="1" ht="10.5" customHeight="1">
      <c r="A12" s="449" t="s">
        <v>240</v>
      </c>
      <c r="B12" s="20">
        <v>143.9</v>
      </c>
      <c r="C12" s="20">
        <v>5.64</v>
      </c>
      <c r="D12" s="20">
        <v>5.83</v>
      </c>
      <c r="E12" s="20">
        <v>146.5</v>
      </c>
      <c r="F12" s="20">
        <v>6.64</v>
      </c>
      <c r="G12" s="20">
        <v>6.92</v>
      </c>
      <c r="H12" s="20">
        <v>141.03</v>
      </c>
      <c r="I12" s="20">
        <v>4.26</v>
      </c>
      <c r="J12" s="20">
        <v>4.37</v>
      </c>
      <c r="K12" s="20">
        <v>136.25</v>
      </c>
      <c r="L12" s="20">
        <v>136.19</v>
      </c>
      <c r="M12" s="20">
        <v>137.94999999999999</v>
      </c>
      <c r="N12" s="20">
        <v>154.96</v>
      </c>
      <c r="O12" s="20">
        <v>170.79</v>
      </c>
      <c r="P12" s="20">
        <v>141.31</v>
      </c>
      <c r="Q12" s="20">
        <v>133.82</v>
      </c>
    </row>
    <row r="13" spans="1:17" s="130" customFormat="1" ht="10.5" customHeight="1">
      <c r="A13" s="552" t="s">
        <v>1205</v>
      </c>
      <c r="B13" s="580">
        <v>153.24</v>
      </c>
      <c r="C13" s="580">
        <v>7.35</v>
      </c>
      <c r="D13" s="580">
        <v>6.48</v>
      </c>
      <c r="E13" s="580">
        <v>158.08000000000001</v>
      </c>
      <c r="F13" s="580">
        <v>8.73</v>
      </c>
      <c r="G13" s="580">
        <v>7.91</v>
      </c>
      <c r="H13" s="580">
        <v>147.13999999999999</v>
      </c>
      <c r="I13" s="580">
        <v>5.32</v>
      </c>
      <c r="J13" s="580">
        <v>4.33</v>
      </c>
      <c r="K13" s="580">
        <v>142.15</v>
      </c>
      <c r="L13" s="580">
        <v>141.43</v>
      </c>
      <c r="M13" s="580">
        <v>143.18</v>
      </c>
      <c r="N13" s="580">
        <v>162.47</v>
      </c>
      <c r="O13" s="580">
        <v>179.94</v>
      </c>
      <c r="P13" s="580">
        <v>150.24</v>
      </c>
      <c r="Q13" s="580">
        <v>137.78</v>
      </c>
    </row>
    <row r="14" spans="1:17" s="130" customFormat="1" ht="10.5" customHeight="1">
      <c r="A14" s="449" t="s">
        <v>1210</v>
      </c>
      <c r="B14" s="20">
        <v>164.21</v>
      </c>
      <c r="C14" s="20">
        <v>7.54</v>
      </c>
      <c r="D14" s="20">
        <v>7.16</v>
      </c>
      <c r="E14" s="20">
        <v>170.34</v>
      </c>
      <c r="F14" s="20">
        <v>8.81</v>
      </c>
      <c r="G14" s="20">
        <v>7.76</v>
      </c>
      <c r="H14" s="20">
        <v>156.56</v>
      </c>
      <c r="I14" s="20">
        <v>5.73</v>
      </c>
      <c r="J14" s="20">
        <v>6.4</v>
      </c>
      <c r="K14" s="20">
        <v>148.35</v>
      </c>
      <c r="L14" s="20">
        <v>153.02000000000001</v>
      </c>
      <c r="M14" s="20">
        <v>151.21</v>
      </c>
      <c r="N14" s="20">
        <v>169.62</v>
      </c>
      <c r="O14" s="20">
        <v>191.66</v>
      </c>
      <c r="P14" s="20">
        <v>165.42</v>
      </c>
      <c r="Q14" s="20">
        <v>143.22999999999999</v>
      </c>
    </row>
    <row r="15" spans="1:17" s="130" customFormat="1" ht="10.5" customHeight="1">
      <c r="A15" s="552" t="s">
        <v>1219</v>
      </c>
      <c r="B15" s="580">
        <v>176.04</v>
      </c>
      <c r="C15" s="537">
        <v>9.1999999999999993</v>
      </c>
      <c r="D15" s="537">
        <v>7.2</v>
      </c>
      <c r="E15" s="580">
        <v>184.16</v>
      </c>
      <c r="F15" s="537">
        <v>9.82</v>
      </c>
      <c r="G15" s="537">
        <v>8.11</v>
      </c>
      <c r="H15" s="580">
        <v>165.79</v>
      </c>
      <c r="I15" s="580">
        <v>8.34</v>
      </c>
      <c r="J15" s="580">
        <v>5.9</v>
      </c>
      <c r="K15" s="580">
        <v>156.79</v>
      </c>
      <c r="L15" s="580">
        <v>162.32</v>
      </c>
      <c r="M15" s="580">
        <v>162.61000000000001</v>
      </c>
      <c r="N15" s="580">
        <v>178.49</v>
      </c>
      <c r="O15" s="580">
        <v>201.15</v>
      </c>
      <c r="P15" s="580">
        <v>171.47</v>
      </c>
      <c r="Q15" s="580">
        <v>151.44</v>
      </c>
    </row>
    <row r="16" spans="1:17" s="130" customFormat="1" ht="10.5" customHeight="1">
      <c r="A16" s="449" t="s">
        <v>916</v>
      </c>
      <c r="B16" s="20">
        <v>193.54083333333332</v>
      </c>
      <c r="C16" s="43">
        <v>10.039999999999999</v>
      </c>
      <c r="D16" s="43">
        <v>9.94</v>
      </c>
      <c r="E16" s="20">
        <v>206.78416666666666</v>
      </c>
      <c r="F16" s="43">
        <v>14.1</v>
      </c>
      <c r="G16" s="43">
        <v>12.28</v>
      </c>
      <c r="H16" s="20">
        <v>176.25833333333333</v>
      </c>
      <c r="I16" s="20">
        <v>3.54</v>
      </c>
      <c r="J16" s="20">
        <v>6.32</v>
      </c>
      <c r="K16" s="20">
        <v>164.53333333333333</v>
      </c>
      <c r="L16" s="20">
        <v>174.69583333333333</v>
      </c>
      <c r="M16" s="20">
        <v>178.5633333333333</v>
      </c>
      <c r="N16" s="20">
        <v>185.65333333333334</v>
      </c>
      <c r="O16" s="20">
        <v>211.00666666666666</v>
      </c>
      <c r="P16" s="20">
        <v>174.86250000000004</v>
      </c>
      <c r="Q16" s="20">
        <v>166.6875</v>
      </c>
    </row>
    <row r="17" spans="1:17" s="130" customFormat="1" ht="10.5" customHeight="1">
      <c r="A17" s="552" t="s">
        <v>230</v>
      </c>
      <c r="B17" s="580">
        <v>206.42666666666665</v>
      </c>
      <c r="C17" s="537">
        <v>2.25</v>
      </c>
      <c r="D17" s="537">
        <v>6.66</v>
      </c>
      <c r="E17" s="580">
        <v>221.64333333333335</v>
      </c>
      <c r="F17" s="537">
        <v>0.25</v>
      </c>
      <c r="G17" s="537">
        <v>7.19</v>
      </c>
      <c r="H17" s="580">
        <v>186.67250000000001</v>
      </c>
      <c r="I17" s="580">
        <v>5.94</v>
      </c>
      <c r="J17" s="580">
        <v>5.91</v>
      </c>
      <c r="K17" s="580">
        <v>173.09666666666666</v>
      </c>
      <c r="L17" s="580">
        <v>184.45833333333334</v>
      </c>
      <c r="M17" s="580">
        <v>194.74999999999997</v>
      </c>
      <c r="N17" s="580">
        <v>189.25</v>
      </c>
      <c r="O17" s="580">
        <v>222.12249999999997</v>
      </c>
      <c r="P17" s="580">
        <v>181.43916666666667</v>
      </c>
      <c r="Q17" s="580">
        <v>188.84333333333333</v>
      </c>
    </row>
    <row r="18" spans="1:17" s="130" customFormat="1" ht="10.5" customHeight="1">
      <c r="A18" s="449" t="s">
        <v>220</v>
      </c>
      <c r="B18" s="20">
        <v>221.52583333333334</v>
      </c>
      <c r="C18" s="43">
        <v>8.6999999999999993</v>
      </c>
      <c r="D18" s="43">
        <v>7.31</v>
      </c>
      <c r="E18" s="20">
        <v>240.54999999999998</v>
      </c>
      <c r="F18" s="43">
        <v>10.88</v>
      </c>
      <c r="G18" s="43">
        <v>8.5299999999999994</v>
      </c>
      <c r="H18" s="20">
        <v>196.84416666666667</v>
      </c>
      <c r="I18" s="20">
        <v>5.24</v>
      </c>
      <c r="J18" s="20">
        <v>5.45</v>
      </c>
      <c r="K18" s="20">
        <v>181.28999999999996</v>
      </c>
      <c r="L18" s="20">
        <v>191.49083333333331</v>
      </c>
      <c r="M18" s="20">
        <v>215.04416666666668</v>
      </c>
      <c r="N18" s="20">
        <v>199.22166666666666</v>
      </c>
      <c r="O18" s="20">
        <v>234.095</v>
      </c>
      <c r="P18" s="20">
        <v>192.46250000000001</v>
      </c>
      <c r="Q18" s="20">
        <v>208.4025</v>
      </c>
    </row>
    <row r="19" spans="1:17" s="503" customFormat="1" ht="10.5" customHeight="1">
      <c r="A19" s="552" t="s">
        <v>489</v>
      </c>
      <c r="B19" s="580">
        <v>241.01500000000001</v>
      </c>
      <c r="C19" s="537">
        <v>10.17</v>
      </c>
      <c r="D19" s="537">
        <v>8.8000000000000007</v>
      </c>
      <c r="E19" s="580">
        <v>268.02749999999997</v>
      </c>
      <c r="F19" s="537">
        <v>12.51</v>
      </c>
      <c r="G19" s="537">
        <v>11.34</v>
      </c>
      <c r="H19" s="580">
        <v>205.00916666666669</v>
      </c>
      <c r="I19" s="580">
        <v>5.73</v>
      </c>
      <c r="J19" s="580">
        <v>4.1500000000000004</v>
      </c>
      <c r="K19" s="580">
        <v>191.92</v>
      </c>
      <c r="L19" s="580">
        <v>197.91666666666666</v>
      </c>
      <c r="M19" s="580">
        <v>231.74583333333337</v>
      </c>
      <c r="N19" s="580">
        <v>203.67083333333332</v>
      </c>
      <c r="O19" s="580">
        <v>244.16499999999996</v>
      </c>
      <c r="P19" s="580">
        <v>198.44166666666669</v>
      </c>
      <c r="Q19" s="580">
        <v>218.58500000000004</v>
      </c>
    </row>
    <row r="20" spans="1:17" s="503" customFormat="1" ht="10.5" customHeight="1">
      <c r="A20" s="449" t="s">
        <v>1580</v>
      </c>
      <c r="B20" s="20">
        <v>266.60499999999996</v>
      </c>
      <c r="C20" s="43">
        <v>8.56</v>
      </c>
      <c r="D20" s="43">
        <v>10.62</v>
      </c>
      <c r="E20" s="20">
        <v>295.85916666666662</v>
      </c>
      <c r="F20" s="43">
        <v>7.08</v>
      </c>
      <c r="G20" s="43">
        <v>10.47</v>
      </c>
      <c r="H20" s="20">
        <v>227.87249999999995</v>
      </c>
      <c r="I20" s="20">
        <v>11.72</v>
      </c>
      <c r="J20" s="20">
        <v>11.15</v>
      </c>
      <c r="K20" s="20">
        <v>225.68166666666664</v>
      </c>
      <c r="L20" s="20">
        <v>218.26333333333332</v>
      </c>
      <c r="M20" s="20">
        <v>259.11666666666667</v>
      </c>
      <c r="N20" s="20">
        <v>215.63916666666668</v>
      </c>
      <c r="O20" s="20">
        <v>276.33749999999998</v>
      </c>
      <c r="P20" s="20">
        <v>202.93500000000003</v>
      </c>
      <c r="Q20" s="20">
        <v>248.18666666666661</v>
      </c>
    </row>
    <row r="21" spans="1:17" s="503" customFormat="1" ht="10.5" customHeight="1">
      <c r="A21" s="552" t="s">
        <v>2203</v>
      </c>
      <c r="B21" s="580">
        <v>287.13916666666665</v>
      </c>
      <c r="C21" s="537">
        <v>7.97</v>
      </c>
      <c r="D21" s="537">
        <v>7.7</v>
      </c>
      <c r="E21" s="580">
        <v>317.61833333333334</v>
      </c>
      <c r="F21" s="537">
        <v>8.5299999999999994</v>
      </c>
      <c r="G21" s="537">
        <v>7.35</v>
      </c>
      <c r="H21" s="580">
        <v>247.06666666666669</v>
      </c>
      <c r="I21" s="580">
        <v>6.99</v>
      </c>
      <c r="J21" s="580">
        <v>8.43</v>
      </c>
      <c r="K21" s="580">
        <v>252.53583333333336</v>
      </c>
      <c r="L21" s="580">
        <v>238.90499999999994</v>
      </c>
      <c r="M21" s="580">
        <v>280.7091666666667</v>
      </c>
      <c r="N21" s="580">
        <v>228.05083333333334</v>
      </c>
      <c r="O21" s="580">
        <v>292.44916666666666</v>
      </c>
      <c r="P21" s="580">
        <v>210.21416666666661</v>
      </c>
      <c r="Q21" s="580">
        <v>266.74916666666667</v>
      </c>
    </row>
    <row r="22" spans="1:17" s="503" customFormat="1" ht="10.5" customHeight="1">
      <c r="A22" s="449" t="s">
        <v>2204</v>
      </c>
      <c r="B22" s="20">
        <v>181.72583333333333</v>
      </c>
      <c r="C22" s="43">
        <v>8.0500000000000007</v>
      </c>
      <c r="D22" s="43">
        <v>6.78</v>
      </c>
      <c r="E22" s="20">
        <v>193.23666666666665</v>
      </c>
      <c r="F22" s="43">
        <v>8.26</v>
      </c>
      <c r="G22" s="43">
        <v>5.22</v>
      </c>
      <c r="H22" s="20">
        <v>166.96916666666667</v>
      </c>
      <c r="I22" s="20">
        <v>7.75</v>
      </c>
      <c r="J22" s="20">
        <v>9.17</v>
      </c>
      <c r="K22" s="20">
        <v>179.65833333333333</v>
      </c>
      <c r="L22" s="20">
        <v>155.61333333333334</v>
      </c>
      <c r="M22" s="20">
        <v>195.33166666666671</v>
      </c>
      <c r="N22" s="20">
        <v>159.6575</v>
      </c>
      <c r="O22" s="20">
        <v>159.33833333333334</v>
      </c>
      <c r="P22" s="20">
        <v>157.23416666666671</v>
      </c>
      <c r="Q22" s="20">
        <v>182.53750000000002</v>
      </c>
    </row>
    <row r="23" spans="1:17" s="130" customFormat="1" ht="12.75" customHeight="1">
      <c r="A23" s="545" t="s">
        <v>2226</v>
      </c>
      <c r="B23" s="542">
        <v>195.08250000000001</v>
      </c>
      <c r="C23" s="542">
        <v>6.97</v>
      </c>
      <c r="D23" s="542">
        <v>7.35</v>
      </c>
      <c r="E23" s="542">
        <v>209.79083333333335</v>
      </c>
      <c r="F23" s="542">
        <v>8</v>
      </c>
      <c r="G23" s="1449">
        <v>8.57</v>
      </c>
      <c r="H23" s="542">
        <v>176.22416666666666</v>
      </c>
      <c r="I23" s="542">
        <v>5.45</v>
      </c>
      <c r="J23" s="542">
        <v>5.54</v>
      </c>
      <c r="K23" s="542">
        <v>194.76499999999999</v>
      </c>
      <c r="L23" s="542">
        <v>163.47083333333333</v>
      </c>
      <c r="M23" s="542">
        <v>206.13583333333338</v>
      </c>
      <c r="N23" s="542">
        <v>164.05583333333337</v>
      </c>
      <c r="O23" s="542">
        <v>167.20250000000001</v>
      </c>
      <c r="P23" s="542">
        <v>164.38166666666666</v>
      </c>
      <c r="Q23" s="542">
        <v>193.75416666666663</v>
      </c>
    </row>
    <row r="24" spans="1:17" s="1064" customFormat="1" ht="10.5" hidden="1" customHeight="1">
      <c r="A24" s="543" t="s">
        <v>2227</v>
      </c>
      <c r="B24" s="537">
        <v>296.58</v>
      </c>
      <c r="C24" s="537">
        <v>7.78</v>
      </c>
      <c r="D24" s="537">
        <v>7.68</v>
      </c>
      <c r="E24" s="537">
        <v>329</v>
      </c>
      <c r="F24" s="537">
        <v>8.48</v>
      </c>
      <c r="G24" s="534">
        <v>7.53</v>
      </c>
      <c r="H24" s="537">
        <v>253.96</v>
      </c>
      <c r="I24" s="537">
        <v>6.58</v>
      </c>
      <c r="J24" s="537">
        <v>8.02</v>
      </c>
      <c r="K24" s="537">
        <v>266.11</v>
      </c>
      <c r="L24" s="537">
        <v>244.21</v>
      </c>
      <c r="M24" s="537">
        <v>287.77</v>
      </c>
      <c r="N24" s="537">
        <v>231.15</v>
      </c>
      <c r="O24" s="537">
        <v>299.22000000000003</v>
      </c>
      <c r="P24" s="537">
        <v>214.84</v>
      </c>
      <c r="Q24" s="537">
        <v>272.88</v>
      </c>
    </row>
    <row r="25" spans="1:17" s="503" customFormat="1" ht="9.75" hidden="1" customHeight="1">
      <c r="A25" s="315" t="s">
        <v>2228</v>
      </c>
      <c r="B25" s="43">
        <v>186.79</v>
      </c>
      <c r="C25" s="43">
        <v>7.85</v>
      </c>
      <c r="D25" s="43">
        <v>6.99</v>
      </c>
      <c r="E25" s="43">
        <v>198.95</v>
      </c>
      <c r="F25" s="43">
        <v>8.14</v>
      </c>
      <c r="G25" s="42">
        <v>5.71</v>
      </c>
      <c r="H25" s="43">
        <v>171.18</v>
      </c>
      <c r="I25" s="43">
        <v>7.4</v>
      </c>
      <c r="J25" s="43">
        <v>8.9600000000000009</v>
      </c>
      <c r="K25" s="43">
        <v>187.56</v>
      </c>
      <c r="L25" s="43">
        <v>158.29</v>
      </c>
      <c r="M25" s="43">
        <v>200.8</v>
      </c>
      <c r="N25" s="43">
        <v>160.93</v>
      </c>
      <c r="O25" s="43">
        <v>163.24</v>
      </c>
      <c r="P25" s="43">
        <v>161.61000000000001</v>
      </c>
      <c r="Q25" s="43">
        <v>187.56</v>
      </c>
    </row>
    <row r="26" spans="1:17" s="130" customFormat="1" ht="10.5" hidden="1" customHeight="1">
      <c r="A26" s="543" t="s">
        <v>2238</v>
      </c>
      <c r="B26" s="537">
        <v>189.44</v>
      </c>
      <c r="C26" s="537">
        <v>7.39</v>
      </c>
      <c r="D26" s="537">
        <v>7.19</v>
      </c>
      <c r="E26" s="537">
        <v>203.09</v>
      </c>
      <c r="F26" s="537">
        <v>8.09</v>
      </c>
      <c r="G26" s="537">
        <v>6.2</v>
      </c>
      <c r="H26" s="537">
        <v>171.94</v>
      </c>
      <c r="I26" s="537">
        <v>6.35</v>
      </c>
      <c r="J26" s="537">
        <v>8.7100000000000009</v>
      </c>
      <c r="K26" s="537">
        <v>188.17</v>
      </c>
      <c r="L26" s="537">
        <v>159.04</v>
      </c>
      <c r="M26" s="537">
        <v>201.93</v>
      </c>
      <c r="N26" s="537">
        <v>161.27000000000001</v>
      </c>
      <c r="O26" s="537">
        <v>163.93</v>
      </c>
      <c r="P26" s="537">
        <v>162.69999999999999</v>
      </c>
      <c r="Q26" s="537">
        <v>188.24</v>
      </c>
    </row>
    <row r="27" spans="1:17" s="503" customFormat="1" ht="10.5" hidden="1" customHeight="1">
      <c r="A27" s="315" t="s">
        <v>1869</v>
      </c>
      <c r="B27" s="43">
        <v>192.24</v>
      </c>
      <c r="C27" s="43">
        <v>7.13</v>
      </c>
      <c r="D27" s="43">
        <v>7.37</v>
      </c>
      <c r="E27" s="43">
        <v>206.88</v>
      </c>
      <c r="F27" s="43">
        <v>7.93</v>
      </c>
      <c r="G27" s="42">
        <v>6.73</v>
      </c>
      <c r="H27" s="43">
        <v>173.48</v>
      </c>
      <c r="I27" s="43">
        <v>5.94</v>
      </c>
      <c r="J27" s="43">
        <v>8.35</v>
      </c>
      <c r="K27" s="43">
        <v>190.18</v>
      </c>
      <c r="L27" s="43">
        <v>159.52000000000001</v>
      </c>
      <c r="M27" s="43">
        <v>204.93</v>
      </c>
      <c r="N27" s="43">
        <v>162.11000000000001</v>
      </c>
      <c r="O27" s="43">
        <v>166.02</v>
      </c>
      <c r="P27" s="43">
        <v>163.35</v>
      </c>
      <c r="Q27" s="43">
        <v>192.08</v>
      </c>
    </row>
    <row r="28" spans="1:17" s="130" customFormat="1" ht="10.5" hidden="1" customHeight="1">
      <c r="A28" s="543" t="s">
        <v>1921</v>
      </c>
      <c r="B28" s="537">
        <v>194.01</v>
      </c>
      <c r="C28" s="537">
        <v>7.03</v>
      </c>
      <c r="D28" s="537">
        <v>7.47</v>
      </c>
      <c r="E28" s="537">
        <v>209.25</v>
      </c>
      <c r="F28" s="537">
        <v>8.3800000000000008</v>
      </c>
      <c r="G28" s="534">
        <v>7.23</v>
      </c>
      <c r="H28" s="537">
        <v>174.46</v>
      </c>
      <c r="I28" s="537">
        <v>5.0199999999999996</v>
      </c>
      <c r="J28" s="537">
        <v>7.83</v>
      </c>
      <c r="K28" s="537">
        <v>191.85</v>
      </c>
      <c r="L28" s="537">
        <v>160.52000000000001</v>
      </c>
      <c r="M28" s="537">
        <v>205.24</v>
      </c>
      <c r="N28" s="537">
        <v>163.15</v>
      </c>
      <c r="O28" s="537">
        <v>166.28</v>
      </c>
      <c r="P28" s="537">
        <v>164.29</v>
      </c>
      <c r="Q28" s="537">
        <v>193.7</v>
      </c>
    </row>
    <row r="29" spans="1:17" s="503" customFormat="1" ht="10.5" hidden="1" customHeight="1">
      <c r="A29" s="315" t="s">
        <v>1934</v>
      </c>
      <c r="B29" s="43">
        <v>194.76</v>
      </c>
      <c r="C29" s="43">
        <v>7.15</v>
      </c>
      <c r="D29" s="43">
        <v>7.51</v>
      </c>
      <c r="E29" s="43">
        <v>210.27</v>
      </c>
      <c r="F29" s="43">
        <v>8.5500000000000007</v>
      </c>
      <c r="G29" s="42">
        <v>7.62</v>
      </c>
      <c r="H29" s="43">
        <v>174.92</v>
      </c>
      <c r="I29" s="43">
        <v>5.08</v>
      </c>
      <c r="J29" s="43">
        <v>7.36</v>
      </c>
      <c r="K29" s="43">
        <v>192.85</v>
      </c>
      <c r="L29" s="43">
        <v>160.94</v>
      </c>
      <c r="M29" s="43">
        <v>205.67</v>
      </c>
      <c r="N29" s="43">
        <v>163.55000000000001</v>
      </c>
      <c r="O29" s="43">
        <v>166.77</v>
      </c>
      <c r="P29" s="43">
        <v>164.33</v>
      </c>
      <c r="Q29" s="43">
        <v>193.82</v>
      </c>
    </row>
    <row r="30" spans="1:17" s="130" customFormat="1" ht="9.75" hidden="1" customHeight="1">
      <c r="A30" s="543" t="s">
        <v>2307</v>
      </c>
      <c r="B30" s="537">
        <v>195.82</v>
      </c>
      <c r="C30" s="537">
        <v>7.35</v>
      </c>
      <c r="D30" s="537">
        <v>7.53</v>
      </c>
      <c r="E30" s="537">
        <v>211.87</v>
      </c>
      <c r="F30" s="537">
        <v>9</v>
      </c>
      <c r="G30" s="534">
        <v>7.93</v>
      </c>
      <c r="H30" s="537">
        <v>175.26</v>
      </c>
      <c r="I30" s="537">
        <v>4.88</v>
      </c>
      <c r="J30" s="537">
        <v>6.94</v>
      </c>
      <c r="K30" s="537">
        <v>193.56</v>
      </c>
      <c r="L30" s="537">
        <v>161.1</v>
      </c>
      <c r="M30" s="537">
        <v>206.32</v>
      </c>
      <c r="N30" s="537">
        <v>163.94</v>
      </c>
      <c r="O30" s="537">
        <v>167.15</v>
      </c>
      <c r="P30" s="537">
        <v>164.38</v>
      </c>
      <c r="Q30" s="537">
        <v>194.02</v>
      </c>
    </row>
    <row r="31" spans="1:17" s="503" customFormat="1" ht="10.5" hidden="1" customHeight="1">
      <c r="A31" s="315" t="s">
        <v>1968</v>
      </c>
      <c r="B31" s="43">
        <v>198.15</v>
      </c>
      <c r="C31" s="43">
        <v>7.5</v>
      </c>
      <c r="D31" s="43">
        <v>7.6</v>
      </c>
      <c r="E31" s="43">
        <v>213.65</v>
      </c>
      <c r="F31" s="43">
        <v>8.81</v>
      </c>
      <c r="G31" s="42">
        <v>8.25</v>
      </c>
      <c r="H31" s="43">
        <v>178.26</v>
      </c>
      <c r="I31" s="43">
        <v>5.53</v>
      </c>
      <c r="J31" s="43">
        <v>6.64</v>
      </c>
      <c r="K31" s="43">
        <v>198.38</v>
      </c>
      <c r="L31" s="43">
        <v>166.53</v>
      </c>
      <c r="M31" s="43">
        <v>207.4</v>
      </c>
      <c r="N31" s="43">
        <v>165.24</v>
      </c>
      <c r="O31" s="43">
        <v>167.78</v>
      </c>
      <c r="P31" s="43">
        <v>164.55</v>
      </c>
      <c r="Q31" s="43">
        <v>195.01</v>
      </c>
    </row>
    <row r="32" spans="1:17" s="130" customFormat="1" ht="9" hidden="1" customHeight="1">
      <c r="A32" s="605" t="s">
        <v>2322</v>
      </c>
      <c r="B32" s="531">
        <v>198.54</v>
      </c>
      <c r="C32" s="531">
        <v>7.44</v>
      </c>
      <c r="D32" s="531">
        <v>7.57</v>
      </c>
      <c r="E32" s="531">
        <v>214.17</v>
      </c>
      <c r="F32" s="531">
        <v>8.84</v>
      </c>
      <c r="G32" s="530">
        <v>8.3699999999999992</v>
      </c>
      <c r="H32" s="531">
        <v>178.51</v>
      </c>
      <c r="I32" s="531">
        <v>5.37</v>
      </c>
      <c r="J32" s="531">
        <v>6.39</v>
      </c>
      <c r="K32" s="531">
        <v>198.79</v>
      </c>
      <c r="L32" s="531">
        <v>166.62</v>
      </c>
      <c r="M32" s="531">
        <v>208.03</v>
      </c>
      <c r="N32" s="531">
        <v>165.41</v>
      </c>
      <c r="O32" s="531">
        <v>168.11</v>
      </c>
      <c r="P32" s="531">
        <v>164.72</v>
      </c>
      <c r="Q32" s="531">
        <v>195.17</v>
      </c>
    </row>
    <row r="33" spans="1:17" s="503" customFormat="1" ht="9" hidden="1" customHeight="1">
      <c r="A33" s="480" t="s">
        <v>2331</v>
      </c>
      <c r="B33" s="483">
        <v>198.84</v>
      </c>
      <c r="C33" s="483">
        <v>7.48</v>
      </c>
      <c r="D33" s="483">
        <v>7.54</v>
      </c>
      <c r="E33" s="483">
        <v>214.45</v>
      </c>
      <c r="F33" s="483">
        <v>8.9600000000000009</v>
      </c>
      <c r="G33" s="482">
        <v>8.49</v>
      </c>
      <c r="H33" s="483">
        <v>178.82</v>
      </c>
      <c r="I33" s="483">
        <v>5.26</v>
      </c>
      <c r="J33" s="483">
        <v>6.16</v>
      </c>
      <c r="K33" s="483">
        <v>198.87</v>
      </c>
      <c r="L33" s="483">
        <v>166.88</v>
      </c>
      <c r="M33" s="483">
        <v>208.36</v>
      </c>
      <c r="N33" s="483">
        <v>165.5</v>
      </c>
      <c r="O33" s="483">
        <v>168.52</v>
      </c>
      <c r="P33" s="483">
        <v>165.55</v>
      </c>
      <c r="Q33" s="483">
        <v>195.53</v>
      </c>
    </row>
    <row r="34" spans="1:17" s="130" customFormat="1" ht="9.75" hidden="1" customHeight="1">
      <c r="A34" s="605" t="s">
        <v>2343</v>
      </c>
      <c r="B34" s="531">
        <v>198.94</v>
      </c>
      <c r="C34" s="531">
        <v>7.46</v>
      </c>
      <c r="D34" s="531">
        <v>7.47</v>
      </c>
      <c r="E34" s="531">
        <v>214.49</v>
      </c>
      <c r="F34" s="531">
        <v>8.9499999999999993</v>
      </c>
      <c r="G34" s="530">
        <v>8.51</v>
      </c>
      <c r="H34" s="531">
        <v>178.97</v>
      </c>
      <c r="I34" s="531">
        <v>5.23</v>
      </c>
      <c r="J34" s="531">
        <v>5.94</v>
      </c>
      <c r="K34" s="531">
        <v>199.33</v>
      </c>
      <c r="L34" s="531">
        <v>167.01</v>
      </c>
      <c r="M34" s="531">
        <v>207.34</v>
      </c>
      <c r="N34" s="531">
        <v>165.69</v>
      </c>
      <c r="O34" s="531">
        <v>169.19</v>
      </c>
      <c r="P34" s="531">
        <v>165.62</v>
      </c>
      <c r="Q34" s="531">
        <v>195.91</v>
      </c>
    </row>
    <row r="35" spans="1:17" s="503" customFormat="1" ht="10.5" hidden="1" customHeight="1">
      <c r="A35" s="480" t="s">
        <v>2346</v>
      </c>
      <c r="B35" s="483">
        <v>196.6</v>
      </c>
      <c r="C35" s="483">
        <v>7.48</v>
      </c>
      <c r="D35" s="483">
        <v>7.44</v>
      </c>
      <c r="E35" s="483">
        <v>210.27</v>
      </c>
      <c r="F35" s="483">
        <v>9.09</v>
      </c>
      <c r="G35" s="482">
        <v>8.59</v>
      </c>
      <c r="H35" s="483">
        <v>179.07</v>
      </c>
      <c r="I35" s="483">
        <v>5.16</v>
      </c>
      <c r="J35" s="483">
        <v>5.72</v>
      </c>
      <c r="K35" s="483">
        <v>197.68</v>
      </c>
      <c r="L35" s="483">
        <v>167.12</v>
      </c>
      <c r="M35" s="483">
        <v>208.73</v>
      </c>
      <c r="N35" s="483">
        <v>165.92</v>
      </c>
      <c r="O35" s="483">
        <v>169.62</v>
      </c>
      <c r="P35" s="483">
        <v>165.69</v>
      </c>
      <c r="Q35" s="483">
        <v>196.97</v>
      </c>
    </row>
    <row r="36" spans="1:17" s="130" customFormat="1" ht="10.5" hidden="1" customHeight="1">
      <c r="A36" s="605" t="s">
        <v>2357</v>
      </c>
      <c r="B36" s="531">
        <v>196.86</v>
      </c>
      <c r="C36" s="531">
        <v>6.97</v>
      </c>
      <c r="D36" s="531">
        <v>7.35</v>
      </c>
      <c r="E36" s="531">
        <v>210.15</v>
      </c>
      <c r="F36" s="531">
        <v>8</v>
      </c>
      <c r="G36" s="530">
        <v>8.57</v>
      </c>
      <c r="H36" s="531">
        <v>179.82</v>
      </c>
      <c r="I36" s="531">
        <v>5.45</v>
      </c>
      <c r="J36" s="531">
        <v>5.54</v>
      </c>
      <c r="K36" s="531">
        <v>199.96</v>
      </c>
      <c r="L36" s="531">
        <v>168.08</v>
      </c>
      <c r="M36" s="531">
        <v>208.88</v>
      </c>
      <c r="N36" s="531">
        <v>165.96</v>
      </c>
      <c r="O36" s="531">
        <v>169.82</v>
      </c>
      <c r="P36" s="531">
        <v>165.79</v>
      </c>
      <c r="Q36" s="531">
        <v>197.04</v>
      </c>
    </row>
    <row r="37" spans="1:17" s="503" customFormat="1" ht="12" customHeight="1">
      <c r="A37" s="695" t="s">
        <v>2376</v>
      </c>
      <c r="B37" s="259">
        <f>(B39+B40+B41+B42+B43+B44+B45+B46+B47+B48+B49+B38)/12</f>
        <v>207.57750000000001</v>
      </c>
      <c r="C37" s="259">
        <f>C49</f>
        <v>6.25</v>
      </c>
      <c r="D37" s="259">
        <f>D49</f>
        <v>6.4</v>
      </c>
      <c r="E37" s="259">
        <f>(E39+E40+E41+E42+E43+E44+E45+E46+E47+E48+E49+E38)/12</f>
        <v>223.78833333333333</v>
      </c>
      <c r="F37" s="259">
        <f>F49</f>
        <v>6.32</v>
      </c>
      <c r="G37" s="258">
        <f>G49</f>
        <v>6.68</v>
      </c>
      <c r="H37" s="259">
        <f>(H39+H40+H41+H42+H43+H44+H45+H46+H47+H48+H49+H38)/12</f>
        <v>186.78499999999997</v>
      </c>
      <c r="I37" s="259">
        <f>I49</f>
        <v>6.15</v>
      </c>
      <c r="J37" s="259">
        <f>J49</f>
        <v>5.99</v>
      </c>
      <c r="K37" s="259">
        <f>(K39+K40+K41+K42+K43+K44+K45+K46+K47+K48+K49+K38)/12</f>
        <v>209.44583333333333</v>
      </c>
      <c r="L37" s="259">
        <f t="shared" ref="L37:Q37" si="0">(L39+L40+L41+L42+L43+L44+L45+L46+L47+L48+L49+L38)/12</f>
        <v>171.79583333333335</v>
      </c>
      <c r="M37" s="259">
        <f t="shared" si="0"/>
        <v>214.44333333333336</v>
      </c>
      <c r="N37" s="259">
        <f t="shared" si="0"/>
        <v>181.09000000000003</v>
      </c>
      <c r="O37" s="259">
        <f t="shared" si="0"/>
        <v>181.77833333333334</v>
      </c>
      <c r="P37" s="259">
        <f t="shared" si="0"/>
        <v>168.02416666666664</v>
      </c>
      <c r="Q37" s="259">
        <f t="shared" si="0"/>
        <v>204.20583333333332</v>
      </c>
    </row>
    <row r="38" spans="1:17" s="130" customFormat="1" ht="11.25" customHeight="1">
      <c r="A38" s="605" t="s">
        <v>1211</v>
      </c>
      <c r="B38" s="531">
        <v>199.94</v>
      </c>
      <c r="C38" s="531">
        <v>7.04</v>
      </c>
      <c r="D38" s="531">
        <v>7.28</v>
      </c>
      <c r="E38" s="531">
        <v>214.74</v>
      </c>
      <c r="F38" s="531">
        <v>7.94</v>
      </c>
      <c r="G38" s="530">
        <v>8.5500000000000007</v>
      </c>
      <c r="H38" s="531">
        <v>180.95</v>
      </c>
      <c r="I38" s="531">
        <v>5.71</v>
      </c>
      <c r="J38" s="531">
        <v>5.41</v>
      </c>
      <c r="K38" s="531">
        <v>204.44</v>
      </c>
      <c r="L38" s="531">
        <v>168.68</v>
      </c>
      <c r="M38" s="531">
        <v>208.43</v>
      </c>
      <c r="N38" s="531">
        <v>166.19</v>
      </c>
      <c r="O38" s="531">
        <v>171.26</v>
      </c>
      <c r="P38" s="531">
        <v>166.06</v>
      </c>
      <c r="Q38" s="531">
        <v>197.58</v>
      </c>
    </row>
    <row r="39" spans="1:17" s="503" customFormat="1" ht="12.75" customHeight="1">
      <c r="A39" s="480" t="s">
        <v>1212</v>
      </c>
      <c r="B39" s="483">
        <v>202.53</v>
      </c>
      <c r="C39" s="483">
        <v>6.91</v>
      </c>
      <c r="D39" s="483">
        <v>7.24</v>
      </c>
      <c r="E39" s="483">
        <v>218.66</v>
      </c>
      <c r="F39" s="483">
        <v>7.67</v>
      </c>
      <c r="G39" s="482">
        <v>8.51</v>
      </c>
      <c r="H39" s="483">
        <v>181.85</v>
      </c>
      <c r="I39" s="483">
        <v>5.76</v>
      </c>
      <c r="J39" s="483">
        <v>5.37</v>
      </c>
      <c r="K39" s="483">
        <v>204.55</v>
      </c>
      <c r="L39" s="483">
        <v>170.03</v>
      </c>
      <c r="M39" s="483">
        <v>209.27</v>
      </c>
      <c r="N39" s="483">
        <v>166.26</v>
      </c>
      <c r="O39" s="483">
        <v>173.31</v>
      </c>
      <c r="P39" s="483">
        <v>166.15</v>
      </c>
      <c r="Q39" s="483">
        <v>198.12</v>
      </c>
    </row>
    <row r="40" spans="1:17" s="130" customFormat="1" ht="11.25" customHeight="1">
      <c r="A40" s="605" t="s">
        <v>1206</v>
      </c>
      <c r="B40" s="531">
        <v>205.39</v>
      </c>
      <c r="C40" s="531">
        <v>6.84</v>
      </c>
      <c r="D40" s="531">
        <v>7.22</v>
      </c>
      <c r="E40" s="531">
        <v>222.66</v>
      </c>
      <c r="F40" s="531">
        <v>7.63</v>
      </c>
      <c r="G40" s="530">
        <v>8.48</v>
      </c>
      <c r="H40" s="531">
        <v>183.25</v>
      </c>
      <c r="I40" s="531">
        <v>5.63</v>
      </c>
      <c r="J40" s="531">
        <v>5.34</v>
      </c>
      <c r="K40" s="531">
        <v>206.37</v>
      </c>
      <c r="L40" s="531">
        <v>170.43</v>
      </c>
      <c r="M40" s="531">
        <v>210.46</v>
      </c>
      <c r="N40" s="531">
        <v>167.8</v>
      </c>
      <c r="O40" s="531">
        <v>177.58</v>
      </c>
      <c r="P40" s="531">
        <v>166.98</v>
      </c>
      <c r="Q40" s="531">
        <v>199.03</v>
      </c>
    </row>
    <row r="41" spans="1:17" s="503" customFormat="1" ht="11.25" customHeight="1">
      <c r="A41" s="480" t="s">
        <v>1213</v>
      </c>
      <c r="B41" s="483">
        <v>206.81</v>
      </c>
      <c r="C41" s="483">
        <v>6.6</v>
      </c>
      <c r="D41" s="483">
        <v>7.18</v>
      </c>
      <c r="E41" s="483">
        <v>224.23</v>
      </c>
      <c r="F41" s="483">
        <v>7.16</v>
      </c>
      <c r="G41" s="482">
        <v>8.3699999999999992</v>
      </c>
      <c r="H41" s="483">
        <v>184.47</v>
      </c>
      <c r="I41" s="483">
        <v>5.74</v>
      </c>
      <c r="J41" s="483">
        <v>5.4</v>
      </c>
      <c r="K41" s="483">
        <v>206.93</v>
      </c>
      <c r="L41" s="483">
        <v>170.73</v>
      </c>
      <c r="M41" s="483">
        <v>211.88</v>
      </c>
      <c r="N41" s="483">
        <v>171.51</v>
      </c>
      <c r="O41" s="483">
        <v>179.58</v>
      </c>
      <c r="P41" s="483">
        <v>167.48</v>
      </c>
      <c r="Q41" s="483">
        <v>202.15</v>
      </c>
    </row>
    <row r="42" spans="1:17" s="130" customFormat="1" ht="12" customHeight="1">
      <c r="A42" s="605" t="s">
        <v>1214</v>
      </c>
      <c r="B42" s="531">
        <v>206.86</v>
      </c>
      <c r="C42" s="531">
        <v>6.21</v>
      </c>
      <c r="D42" s="531">
        <v>7.1</v>
      </c>
      <c r="E42" s="531">
        <v>223.81</v>
      </c>
      <c r="F42" s="531">
        <v>6.44</v>
      </c>
      <c r="G42" s="530">
        <v>8.18</v>
      </c>
      <c r="H42" s="531">
        <v>185.14</v>
      </c>
      <c r="I42" s="531">
        <v>5.84</v>
      </c>
      <c r="J42" s="531">
        <v>5.47</v>
      </c>
      <c r="K42" s="531">
        <v>207.47</v>
      </c>
      <c r="L42" s="531">
        <v>170.94</v>
      </c>
      <c r="M42" s="531">
        <v>212.29</v>
      </c>
      <c r="N42" s="531">
        <v>175.57</v>
      </c>
      <c r="O42" s="531">
        <v>180.36</v>
      </c>
      <c r="P42" s="531">
        <v>167.61</v>
      </c>
      <c r="Q42" s="531">
        <v>202.43</v>
      </c>
    </row>
    <row r="43" spans="1:17" s="503" customFormat="1" ht="12" customHeight="1">
      <c r="A43" s="480" t="s">
        <v>1207</v>
      </c>
      <c r="B43" s="483">
        <v>207.78</v>
      </c>
      <c r="C43" s="483">
        <v>6.11</v>
      </c>
      <c r="D43" s="483">
        <v>6.99</v>
      </c>
      <c r="E43" s="483">
        <v>224.2</v>
      </c>
      <c r="F43" s="483">
        <v>5.86</v>
      </c>
      <c r="G43" s="482">
        <v>7.91</v>
      </c>
      <c r="H43" s="483">
        <v>186.62</v>
      </c>
      <c r="I43" s="483">
        <v>6.48</v>
      </c>
      <c r="J43" s="483">
        <v>5.6</v>
      </c>
      <c r="K43" s="483">
        <v>208.95</v>
      </c>
      <c r="L43" s="483">
        <v>171.48</v>
      </c>
      <c r="M43" s="483">
        <v>214.04</v>
      </c>
      <c r="N43" s="483">
        <v>177.15</v>
      </c>
      <c r="O43" s="483">
        <v>183.9</v>
      </c>
      <c r="P43" s="483">
        <v>168.31</v>
      </c>
      <c r="Q43" s="483">
        <v>204.94</v>
      </c>
    </row>
    <row r="44" spans="1:17" s="130" customFormat="1" ht="11.25" customHeight="1">
      <c r="A44" s="605" t="s">
        <v>1215</v>
      </c>
      <c r="B44" s="531">
        <v>210.12</v>
      </c>
      <c r="C44" s="531">
        <v>6.04</v>
      </c>
      <c r="D44" s="531">
        <v>6.87</v>
      </c>
      <c r="E44" s="531">
        <v>226.61</v>
      </c>
      <c r="F44" s="531">
        <v>6.07</v>
      </c>
      <c r="G44" s="530">
        <v>7.68</v>
      </c>
      <c r="H44" s="531">
        <v>188.98</v>
      </c>
      <c r="I44" s="531">
        <v>6.01</v>
      </c>
      <c r="J44" s="531">
        <v>5.64</v>
      </c>
      <c r="K44" s="531">
        <v>211.06</v>
      </c>
      <c r="L44" s="531">
        <v>172.95</v>
      </c>
      <c r="M44" s="531">
        <v>215.49</v>
      </c>
      <c r="N44" s="531">
        <v>189.51</v>
      </c>
      <c r="O44" s="531">
        <v>185.11</v>
      </c>
      <c r="P44" s="531">
        <v>168.64</v>
      </c>
      <c r="Q44" s="531">
        <v>207.33</v>
      </c>
    </row>
    <row r="45" spans="1:17" s="503" customFormat="1" ht="12.75" customHeight="1">
      <c r="A45" s="480" t="s">
        <v>1216</v>
      </c>
      <c r="B45" s="483">
        <v>210.74</v>
      </c>
      <c r="C45" s="483">
        <v>6.14</v>
      </c>
      <c r="D45" s="483">
        <v>6.76</v>
      </c>
      <c r="E45" s="483">
        <v>227.25</v>
      </c>
      <c r="F45" s="483">
        <v>6.11</v>
      </c>
      <c r="G45" s="482">
        <v>7.45</v>
      </c>
      <c r="H45" s="483">
        <v>189.58</v>
      </c>
      <c r="I45" s="483">
        <v>6.2</v>
      </c>
      <c r="J45" s="483">
        <v>5.71</v>
      </c>
      <c r="K45" s="483">
        <v>212.15</v>
      </c>
      <c r="L45" s="483">
        <v>173.12</v>
      </c>
      <c r="M45" s="483">
        <v>216.77</v>
      </c>
      <c r="N45" s="483">
        <v>191.52</v>
      </c>
      <c r="O45" s="483">
        <v>185.54</v>
      </c>
      <c r="P45" s="483">
        <v>168.71</v>
      </c>
      <c r="Q45" s="483">
        <v>207.35</v>
      </c>
    </row>
    <row r="46" spans="1:17" s="130" customFormat="1" ht="10.5" customHeight="1">
      <c r="A46" s="605" t="s">
        <v>1208</v>
      </c>
      <c r="B46" s="531">
        <v>211.31</v>
      </c>
      <c r="C46" s="531">
        <v>6.27</v>
      </c>
      <c r="D46" s="531">
        <v>6.66</v>
      </c>
      <c r="E46" s="531">
        <v>228.12</v>
      </c>
      <c r="F46" s="531">
        <v>6.37</v>
      </c>
      <c r="G46" s="530">
        <v>7.24</v>
      </c>
      <c r="H46" s="531">
        <v>189.77</v>
      </c>
      <c r="I46" s="531">
        <v>6.12</v>
      </c>
      <c r="J46" s="531">
        <v>5.78</v>
      </c>
      <c r="K46" s="531">
        <v>212.25</v>
      </c>
      <c r="L46" s="531">
        <v>173.18</v>
      </c>
      <c r="M46" s="531">
        <v>217.79</v>
      </c>
      <c r="N46" s="531">
        <v>191.62</v>
      </c>
      <c r="O46" s="531">
        <v>185.75</v>
      </c>
      <c r="P46" s="531">
        <v>168.77</v>
      </c>
      <c r="Q46" s="531">
        <v>207.47</v>
      </c>
    </row>
    <row r="47" spans="1:17" s="503" customFormat="1" ht="12" customHeight="1">
      <c r="A47" s="480" t="s">
        <v>1217</v>
      </c>
      <c r="B47" s="483">
        <v>211.51</v>
      </c>
      <c r="C47" s="483">
        <v>6.32</v>
      </c>
      <c r="D47" s="483">
        <v>6.57</v>
      </c>
      <c r="E47" s="483">
        <v>228.39</v>
      </c>
      <c r="F47" s="483">
        <v>6.48</v>
      </c>
      <c r="G47" s="482">
        <v>7.04</v>
      </c>
      <c r="H47" s="483">
        <v>189.86</v>
      </c>
      <c r="I47" s="483">
        <v>6.08</v>
      </c>
      <c r="J47" s="483">
        <v>5.85</v>
      </c>
      <c r="K47" s="483">
        <v>212.31</v>
      </c>
      <c r="L47" s="483">
        <v>173.23</v>
      </c>
      <c r="M47" s="483">
        <v>218.02</v>
      </c>
      <c r="N47" s="483">
        <v>191.69</v>
      </c>
      <c r="O47" s="483">
        <v>185.88</v>
      </c>
      <c r="P47" s="483">
        <v>168.8</v>
      </c>
      <c r="Q47" s="483">
        <v>207.56</v>
      </c>
    </row>
    <row r="48" spans="1:17" s="130" customFormat="1" ht="12.75" customHeight="1">
      <c r="A48" s="605" t="s">
        <v>1218</v>
      </c>
      <c r="B48" s="531">
        <v>208.77</v>
      </c>
      <c r="C48" s="531">
        <v>6.19</v>
      </c>
      <c r="D48" s="531">
        <v>6.46</v>
      </c>
      <c r="E48" s="531">
        <v>223.36</v>
      </c>
      <c r="F48" s="531">
        <v>6.23</v>
      </c>
      <c r="G48" s="530">
        <v>6.81</v>
      </c>
      <c r="H48" s="531">
        <v>190.07</v>
      </c>
      <c r="I48" s="531">
        <v>6.14</v>
      </c>
      <c r="J48" s="531">
        <v>5.94</v>
      </c>
      <c r="K48" s="531">
        <v>212.37</v>
      </c>
      <c r="L48" s="531">
        <v>173.25</v>
      </c>
      <c r="M48" s="531">
        <v>219.1</v>
      </c>
      <c r="N48" s="531">
        <v>191.88</v>
      </c>
      <c r="O48" s="531">
        <v>186.1</v>
      </c>
      <c r="P48" s="531">
        <v>169.09</v>
      </c>
      <c r="Q48" s="531">
        <v>207.71</v>
      </c>
    </row>
    <row r="49" spans="1:17" s="503" customFormat="1" ht="11.25" customHeight="1">
      <c r="A49" s="480" t="s">
        <v>1209</v>
      </c>
      <c r="B49" s="483">
        <v>209.17</v>
      </c>
      <c r="C49" s="483">
        <v>6.25</v>
      </c>
      <c r="D49" s="483">
        <v>6.4</v>
      </c>
      <c r="E49" s="483">
        <v>223.43</v>
      </c>
      <c r="F49" s="483">
        <v>6.32</v>
      </c>
      <c r="G49" s="482">
        <v>6.68</v>
      </c>
      <c r="H49" s="483">
        <v>190.88</v>
      </c>
      <c r="I49" s="483">
        <v>6.15</v>
      </c>
      <c r="J49" s="483">
        <v>5.99</v>
      </c>
      <c r="K49" s="483">
        <v>214.5</v>
      </c>
      <c r="L49" s="483">
        <v>173.53</v>
      </c>
      <c r="M49" s="483">
        <v>219.78</v>
      </c>
      <c r="N49" s="483">
        <v>192.38</v>
      </c>
      <c r="O49" s="483">
        <v>186.97</v>
      </c>
      <c r="P49" s="483">
        <v>169.69</v>
      </c>
      <c r="Q49" s="483">
        <v>208.8</v>
      </c>
    </row>
    <row r="50" spans="1:17" s="130" customFormat="1" ht="9.75" customHeight="1">
      <c r="A50" s="693" t="s">
        <v>2608</v>
      </c>
      <c r="B50" s="542">
        <f>SUM(B51:B62)/12</f>
        <v>219.85833333333335</v>
      </c>
      <c r="C50" s="542">
        <f>C62</f>
        <v>5.53</v>
      </c>
      <c r="D50" s="542">
        <f>D62</f>
        <v>5.92</v>
      </c>
      <c r="E50" s="542">
        <f t="shared" ref="E50:Q50" si="1">SUM(E51:E62)/12</f>
        <v>234.77166666666668</v>
      </c>
      <c r="F50" s="542">
        <f>F62</f>
        <v>4.2300000000000004</v>
      </c>
      <c r="G50" s="542">
        <f>G62</f>
        <v>4.92</v>
      </c>
      <c r="H50" s="542">
        <f t="shared" si="1"/>
        <v>200.73749999999998</v>
      </c>
      <c r="I50" s="542">
        <f>I62</f>
        <v>7.5</v>
      </c>
      <c r="J50" s="542">
        <f>J62</f>
        <v>7.46</v>
      </c>
      <c r="K50" s="542">
        <f t="shared" si="1"/>
        <v>233.52</v>
      </c>
      <c r="L50" s="542">
        <f t="shared" si="1"/>
        <v>182.75</v>
      </c>
      <c r="M50" s="542">
        <f t="shared" si="1"/>
        <v>227.5325</v>
      </c>
      <c r="N50" s="542">
        <f t="shared" si="1"/>
        <v>200.02916666666667</v>
      </c>
      <c r="O50" s="542">
        <f t="shared" si="1"/>
        <v>201.59583333333333</v>
      </c>
      <c r="P50" s="542">
        <f t="shared" si="1"/>
        <v>171.00583333333336</v>
      </c>
      <c r="Q50" s="542">
        <f t="shared" si="1"/>
        <v>211.61166666666665</v>
      </c>
    </row>
    <row r="51" spans="1:17" s="503" customFormat="1" ht="12" customHeight="1">
      <c r="A51" s="480" t="s">
        <v>1211</v>
      </c>
      <c r="B51" s="483">
        <v>212.65</v>
      </c>
      <c r="C51" s="483">
        <v>6.36</v>
      </c>
      <c r="D51" s="483">
        <v>6.35</v>
      </c>
      <c r="E51" s="483">
        <v>227.78</v>
      </c>
      <c r="F51" s="483">
        <v>6.07</v>
      </c>
      <c r="G51" s="482">
        <v>6.53</v>
      </c>
      <c r="H51" s="483">
        <v>193.26</v>
      </c>
      <c r="I51" s="483">
        <v>6.8</v>
      </c>
      <c r="J51" s="483">
        <v>6.08</v>
      </c>
      <c r="K51" s="483">
        <v>223.43</v>
      </c>
      <c r="L51" s="483">
        <v>173.74</v>
      </c>
      <c r="M51" s="483">
        <v>221.85</v>
      </c>
      <c r="N51" s="483">
        <v>193.61</v>
      </c>
      <c r="O51" s="483">
        <v>190.8</v>
      </c>
      <c r="P51" s="483">
        <v>169.8</v>
      </c>
      <c r="Q51" s="483">
        <v>209.62</v>
      </c>
    </row>
    <row r="52" spans="1:17" s="130" customFormat="1" ht="13.5" customHeight="1">
      <c r="A52" s="605" t="s">
        <v>1212</v>
      </c>
      <c r="B52" s="531">
        <v>215.03</v>
      </c>
      <c r="C52" s="531">
        <v>6.17</v>
      </c>
      <c r="D52" s="531">
        <v>6.29</v>
      </c>
      <c r="E52" s="531">
        <v>231.91</v>
      </c>
      <c r="F52" s="531">
        <v>6.06</v>
      </c>
      <c r="G52" s="530">
        <v>6.39</v>
      </c>
      <c r="H52" s="531">
        <v>193.39</v>
      </c>
      <c r="I52" s="531">
        <v>6.35</v>
      </c>
      <c r="J52" s="531">
        <v>6.13</v>
      </c>
      <c r="K52" s="531">
        <v>223.21</v>
      </c>
      <c r="L52" s="531">
        <v>174.06</v>
      </c>
      <c r="M52" s="531">
        <v>222.31</v>
      </c>
      <c r="N52" s="531">
        <v>193.78</v>
      </c>
      <c r="O52" s="531">
        <v>191.19</v>
      </c>
      <c r="P52" s="531">
        <v>169.9</v>
      </c>
      <c r="Q52" s="531">
        <v>208.82</v>
      </c>
    </row>
    <row r="53" spans="1:17" s="503" customFormat="1" ht="12.75" customHeight="1">
      <c r="A53" s="315" t="s">
        <v>1206</v>
      </c>
      <c r="B53" s="42">
        <v>218.21</v>
      </c>
      <c r="C53" s="42">
        <v>6.24</v>
      </c>
      <c r="D53" s="42">
        <v>6.24</v>
      </c>
      <c r="E53" s="42">
        <v>235.85</v>
      </c>
      <c r="F53" s="42">
        <v>5.92</v>
      </c>
      <c r="G53" s="42">
        <v>6.25</v>
      </c>
      <c r="H53" s="42">
        <v>195.59</v>
      </c>
      <c r="I53" s="42">
        <v>6.73</v>
      </c>
      <c r="J53" s="42">
        <v>6.22</v>
      </c>
      <c r="K53" s="42">
        <v>231.68</v>
      </c>
      <c r="L53" s="42">
        <v>175.28</v>
      </c>
      <c r="M53" s="42">
        <v>223.02</v>
      </c>
      <c r="N53" s="42">
        <v>194.13</v>
      </c>
      <c r="O53" s="42">
        <v>193.62</v>
      </c>
      <c r="P53" s="42">
        <v>169.97</v>
      </c>
      <c r="Q53" s="43">
        <v>209.2</v>
      </c>
    </row>
    <row r="54" spans="1:17" s="503" customFormat="1" ht="12" customHeight="1">
      <c r="A54" s="543" t="s">
        <v>1213</v>
      </c>
      <c r="B54" s="534">
        <v>219.62</v>
      </c>
      <c r="C54" s="534">
        <v>6.19</v>
      </c>
      <c r="D54" s="534">
        <v>6.21</v>
      </c>
      <c r="E54" s="534">
        <v>237.44</v>
      </c>
      <c r="F54" s="534">
        <v>5.89</v>
      </c>
      <c r="G54" s="534">
        <v>6.15</v>
      </c>
      <c r="H54" s="534">
        <v>196.77</v>
      </c>
      <c r="I54" s="534">
        <v>6.67</v>
      </c>
      <c r="J54" s="537">
        <v>6.3</v>
      </c>
      <c r="K54" s="534">
        <v>231.53</v>
      </c>
      <c r="L54" s="534">
        <v>175.45</v>
      </c>
      <c r="M54" s="534">
        <v>223.94</v>
      </c>
      <c r="N54" s="534">
        <v>194.36</v>
      </c>
      <c r="O54" s="534">
        <v>200.08</v>
      </c>
      <c r="P54" s="534">
        <v>170.22</v>
      </c>
      <c r="Q54" s="537">
        <v>210.86</v>
      </c>
    </row>
    <row r="55" spans="1:17" s="503" customFormat="1" ht="11.25" customHeight="1">
      <c r="A55" s="315" t="s">
        <v>1214</v>
      </c>
      <c r="B55" s="42">
        <v>219.38</v>
      </c>
      <c r="C55" s="42">
        <v>6.05</v>
      </c>
      <c r="D55" s="43">
        <v>6.2</v>
      </c>
      <c r="E55" s="42">
        <v>236.61</v>
      </c>
      <c r="F55" s="42">
        <v>5.72</v>
      </c>
      <c r="G55" s="42">
        <v>6.09</v>
      </c>
      <c r="H55" s="42">
        <v>197.29</v>
      </c>
      <c r="I55" s="42">
        <v>6.56</v>
      </c>
      <c r="J55" s="43">
        <v>6.36</v>
      </c>
      <c r="K55" s="42">
        <v>231.99</v>
      </c>
      <c r="L55" s="42">
        <v>175.84</v>
      </c>
      <c r="M55" s="42">
        <v>225.03</v>
      </c>
      <c r="N55" s="43">
        <v>194.4</v>
      </c>
      <c r="O55" s="42">
        <v>201.28</v>
      </c>
      <c r="P55" s="42">
        <v>170.48</v>
      </c>
      <c r="Q55" s="43">
        <v>211.01</v>
      </c>
    </row>
    <row r="56" spans="1:17" s="503" customFormat="1" ht="9.75" customHeight="1">
      <c r="A56" s="543" t="s">
        <v>1207</v>
      </c>
      <c r="B56" s="534">
        <v>220.45</v>
      </c>
      <c r="C56" s="537">
        <v>6.1</v>
      </c>
      <c r="D56" s="534">
        <v>6.19</v>
      </c>
      <c r="E56" s="534">
        <v>236.57</v>
      </c>
      <c r="F56" s="534">
        <v>5.48</v>
      </c>
      <c r="G56" s="534">
        <v>6.05</v>
      </c>
      <c r="H56" s="534">
        <v>199.78</v>
      </c>
      <c r="I56" s="534">
        <v>7.05</v>
      </c>
      <c r="J56" s="537">
        <v>6.41</v>
      </c>
      <c r="K56" s="534">
        <v>235.93</v>
      </c>
      <c r="L56" s="537">
        <v>177.8</v>
      </c>
      <c r="M56" s="534">
        <v>229.04</v>
      </c>
      <c r="N56" s="534">
        <v>197.29</v>
      </c>
      <c r="O56" s="534">
        <v>205.19</v>
      </c>
      <c r="P56" s="534">
        <v>170.63</v>
      </c>
      <c r="Q56" s="537">
        <v>211.16</v>
      </c>
    </row>
    <row r="57" spans="1:17" s="503" customFormat="1" ht="11.25" customHeight="1">
      <c r="A57" s="315" t="s">
        <v>1215</v>
      </c>
      <c r="B57" s="42">
        <v>222.87</v>
      </c>
      <c r="C57" s="42">
        <v>6.07</v>
      </c>
      <c r="D57" s="43">
        <v>6.2</v>
      </c>
      <c r="E57" s="42">
        <v>236.42</v>
      </c>
      <c r="F57" s="42">
        <v>4.33</v>
      </c>
      <c r="G57" s="42">
        <v>5.92</v>
      </c>
      <c r="H57" s="43">
        <v>205.5</v>
      </c>
      <c r="I57" s="42">
        <v>8.74</v>
      </c>
      <c r="J57" s="43">
        <v>6.63</v>
      </c>
      <c r="K57" s="42">
        <v>237.18</v>
      </c>
      <c r="L57" s="42">
        <v>190.58</v>
      </c>
      <c r="M57" s="42">
        <v>230.67</v>
      </c>
      <c r="N57" s="43">
        <v>205.18</v>
      </c>
      <c r="O57" s="42">
        <v>206.22</v>
      </c>
      <c r="P57" s="42">
        <v>171.73</v>
      </c>
      <c r="Q57" s="43">
        <v>212.79</v>
      </c>
    </row>
    <row r="58" spans="1:17" s="503" customFormat="1" ht="11.25" customHeight="1">
      <c r="A58" s="605" t="s">
        <v>1216</v>
      </c>
      <c r="B58" s="534">
        <v>222.58</v>
      </c>
      <c r="C58" s="534">
        <v>5.62</v>
      </c>
      <c r="D58" s="537">
        <v>6.15</v>
      </c>
      <c r="E58" s="534">
        <v>235.81</v>
      </c>
      <c r="F58" s="534">
        <v>3.77</v>
      </c>
      <c r="G58" s="534">
        <v>5.72</v>
      </c>
      <c r="H58" s="534">
        <v>205.61</v>
      </c>
      <c r="I58" s="534">
        <v>8.4600000000000009</v>
      </c>
      <c r="J58" s="537">
        <v>6.82</v>
      </c>
      <c r="K58" s="534">
        <v>237.23</v>
      </c>
      <c r="L58" s="534">
        <v>190.59</v>
      </c>
      <c r="M58" s="534">
        <v>230.81</v>
      </c>
      <c r="N58" s="537">
        <v>205.46</v>
      </c>
      <c r="O58" s="534">
        <v>206.31</v>
      </c>
      <c r="P58" s="534">
        <v>171.78</v>
      </c>
      <c r="Q58" s="537">
        <v>213.34</v>
      </c>
    </row>
    <row r="59" spans="1:17" s="503" customFormat="1" ht="11.25" customHeight="1">
      <c r="A59" s="480" t="s">
        <v>1208</v>
      </c>
      <c r="B59" s="42">
        <v>223.25</v>
      </c>
      <c r="C59" s="42">
        <v>5.65</v>
      </c>
      <c r="D59" s="43">
        <v>6.1</v>
      </c>
      <c r="E59" s="42">
        <v>236.99</v>
      </c>
      <c r="F59" s="42">
        <v>3.89</v>
      </c>
      <c r="G59" s="42">
        <v>5.51</v>
      </c>
      <c r="H59" s="42">
        <v>205.64</v>
      </c>
      <c r="I59" s="42">
        <v>8.36</v>
      </c>
      <c r="J59" s="43">
        <v>7.01</v>
      </c>
      <c r="K59" s="42">
        <v>237.25</v>
      </c>
      <c r="L59" s="43">
        <v>190.6</v>
      </c>
      <c r="M59" s="42">
        <v>230.86</v>
      </c>
      <c r="N59" s="43">
        <v>205.48</v>
      </c>
      <c r="O59" s="42">
        <v>206.34</v>
      </c>
      <c r="P59" s="42">
        <v>171.81</v>
      </c>
      <c r="Q59" s="43">
        <v>213.4</v>
      </c>
    </row>
    <row r="60" spans="1:17" s="503" customFormat="1" ht="12" customHeight="1">
      <c r="A60" s="605" t="s">
        <v>1217</v>
      </c>
      <c r="B60" s="534">
        <v>223.37</v>
      </c>
      <c r="C60" s="534">
        <v>5.61</v>
      </c>
      <c r="D60" s="537">
        <v>6.04</v>
      </c>
      <c r="E60" s="534">
        <v>237.15</v>
      </c>
      <c r="F60" s="534">
        <v>3.84</v>
      </c>
      <c r="G60" s="534">
        <v>5.29</v>
      </c>
      <c r="H60" s="537">
        <v>205.7</v>
      </c>
      <c r="I60" s="534">
        <v>8.34</v>
      </c>
      <c r="J60" s="537">
        <v>7.2</v>
      </c>
      <c r="K60" s="534">
        <v>237.41</v>
      </c>
      <c r="L60" s="537">
        <v>190.61</v>
      </c>
      <c r="M60" s="534">
        <v>230.92</v>
      </c>
      <c r="N60" s="537">
        <v>205.5</v>
      </c>
      <c r="O60" s="534">
        <v>206.44</v>
      </c>
      <c r="P60" s="534">
        <v>171.87</v>
      </c>
      <c r="Q60" s="537">
        <v>213.44</v>
      </c>
    </row>
    <row r="61" spans="1:17" s="503" customFormat="1" ht="10.5" customHeight="1">
      <c r="A61" s="480" t="s">
        <v>1218</v>
      </c>
      <c r="B61" s="42">
        <v>220.15</v>
      </c>
      <c r="C61" s="42">
        <v>5.45</v>
      </c>
      <c r="D61" s="43">
        <v>5.98</v>
      </c>
      <c r="E61" s="42">
        <v>231.86</v>
      </c>
      <c r="F61" s="42">
        <v>3.81</v>
      </c>
      <c r="G61" s="42">
        <v>5.09</v>
      </c>
      <c r="H61" s="42">
        <v>205.13</v>
      </c>
      <c r="I61" s="42">
        <v>7.92</v>
      </c>
      <c r="J61" s="43">
        <v>7.34</v>
      </c>
      <c r="K61" s="42">
        <v>237.44</v>
      </c>
      <c r="L61" s="43">
        <v>189.19</v>
      </c>
      <c r="M61" s="42">
        <v>230.92</v>
      </c>
      <c r="N61" s="43">
        <v>205.52</v>
      </c>
      <c r="O61" s="43">
        <v>205.8</v>
      </c>
      <c r="P61" s="42">
        <v>171.93</v>
      </c>
      <c r="Q61" s="43">
        <v>213.26</v>
      </c>
    </row>
    <row r="62" spans="1:17" s="503" customFormat="1" ht="12.75" customHeight="1">
      <c r="A62" s="605" t="s">
        <v>1209</v>
      </c>
      <c r="B62" s="534">
        <v>220.74</v>
      </c>
      <c r="C62" s="534">
        <v>5.53</v>
      </c>
      <c r="D62" s="537">
        <v>5.92</v>
      </c>
      <c r="E62" s="534">
        <v>232.87</v>
      </c>
      <c r="F62" s="534">
        <v>4.2300000000000004</v>
      </c>
      <c r="G62" s="534">
        <v>4.92</v>
      </c>
      <c r="H62" s="534">
        <v>205.19</v>
      </c>
      <c r="I62" s="537">
        <v>7.5</v>
      </c>
      <c r="J62" s="537">
        <v>7.46</v>
      </c>
      <c r="K62" s="534">
        <v>237.96</v>
      </c>
      <c r="L62" s="537">
        <v>189.26</v>
      </c>
      <c r="M62" s="534">
        <v>231.02</v>
      </c>
      <c r="N62" s="537">
        <v>205.64</v>
      </c>
      <c r="O62" s="537">
        <v>205.88</v>
      </c>
      <c r="P62" s="534">
        <v>171.95</v>
      </c>
      <c r="Q62" s="537">
        <v>212.44</v>
      </c>
    </row>
    <row r="63" spans="1:17" s="503" customFormat="1" ht="10.5" customHeight="1">
      <c r="A63" s="695" t="s">
        <v>2858</v>
      </c>
      <c r="B63" s="42"/>
      <c r="C63" s="42"/>
      <c r="D63" s="43"/>
      <c r="E63" s="42"/>
      <c r="F63" s="42"/>
      <c r="G63" s="42"/>
      <c r="H63" s="42"/>
      <c r="I63" s="42"/>
      <c r="J63" s="43"/>
      <c r="K63" s="42"/>
      <c r="L63" s="43"/>
      <c r="M63" s="42"/>
      <c r="N63" s="43"/>
      <c r="O63" s="43"/>
      <c r="P63" s="42"/>
      <c r="Q63" s="43"/>
    </row>
    <row r="64" spans="1:17" s="503" customFormat="1" ht="10.5" customHeight="1">
      <c r="A64" s="605" t="s">
        <v>2859</v>
      </c>
      <c r="B64" s="534">
        <v>224.13</v>
      </c>
      <c r="C64" s="537">
        <v>5.4</v>
      </c>
      <c r="D64" s="537">
        <v>5.84</v>
      </c>
      <c r="E64" s="534">
        <v>237.69</v>
      </c>
      <c r="F64" s="534">
        <v>4.3499999999999996</v>
      </c>
      <c r="G64" s="534">
        <v>4.7699999999999996</v>
      </c>
      <c r="H64" s="534">
        <v>206.75</v>
      </c>
      <c r="I64" s="534">
        <v>6.98</v>
      </c>
      <c r="J64" s="537">
        <v>7.47</v>
      </c>
      <c r="K64" s="534">
        <v>241.4</v>
      </c>
      <c r="L64" s="537">
        <v>190.22</v>
      </c>
      <c r="M64" s="534">
        <v>232.95</v>
      </c>
      <c r="N64" s="537">
        <v>205.91</v>
      </c>
      <c r="O64" s="537">
        <v>207.41</v>
      </c>
      <c r="P64" s="534">
        <v>172.56</v>
      </c>
      <c r="Q64" s="537">
        <v>214.73</v>
      </c>
    </row>
    <row r="65" spans="1:17" s="503" customFormat="1" ht="11.25" customHeight="1">
      <c r="A65" s="480" t="s">
        <v>1212</v>
      </c>
      <c r="B65" s="42">
        <v>226.57</v>
      </c>
      <c r="C65" s="43">
        <v>5.37</v>
      </c>
      <c r="D65" s="43">
        <v>5.77</v>
      </c>
      <c r="E65" s="42">
        <v>241.89</v>
      </c>
      <c r="F65" s="43">
        <v>4.3</v>
      </c>
      <c r="G65" s="42">
        <v>4.63</v>
      </c>
      <c r="H65" s="42">
        <v>206.93</v>
      </c>
      <c r="I65" s="43">
        <v>7</v>
      </c>
      <c r="J65" s="43">
        <v>7.53</v>
      </c>
      <c r="K65" s="42">
        <v>241.59</v>
      </c>
      <c r="L65" s="43">
        <v>190.26</v>
      </c>
      <c r="M65" s="42">
        <v>233.62</v>
      </c>
      <c r="N65" s="43">
        <v>206.08</v>
      </c>
      <c r="O65" s="43">
        <v>207.56</v>
      </c>
      <c r="P65" s="42">
        <v>172.68</v>
      </c>
      <c r="Q65" s="43">
        <v>214.95</v>
      </c>
    </row>
    <row r="66" spans="1:17" s="503" customFormat="1" ht="12" customHeight="1">
      <c r="A66" s="605" t="s">
        <v>1206</v>
      </c>
      <c r="B66" s="534">
        <v>230.27</v>
      </c>
      <c r="C66" s="537">
        <v>5.53</v>
      </c>
      <c r="D66" s="537">
        <v>5.71</v>
      </c>
      <c r="E66" s="534">
        <v>247.88</v>
      </c>
      <c r="F66" s="537">
        <v>5.0999999999999996</v>
      </c>
      <c r="G66" s="534">
        <v>4.5599999999999996</v>
      </c>
      <c r="H66" s="534">
        <v>207.69</v>
      </c>
      <c r="I66" s="537">
        <v>6.19</v>
      </c>
      <c r="J66" s="537">
        <v>7.48</v>
      </c>
      <c r="K66" s="534">
        <v>242.85</v>
      </c>
      <c r="L66" s="537">
        <v>190.62</v>
      </c>
      <c r="M66" s="534">
        <v>234.01</v>
      </c>
      <c r="N66" s="537">
        <v>206.32</v>
      </c>
      <c r="O66" s="537">
        <v>209.32</v>
      </c>
      <c r="P66" s="534">
        <v>172.72</v>
      </c>
      <c r="Q66" s="537">
        <v>216.62</v>
      </c>
    </row>
    <row r="67" spans="1:17" s="503" customFormat="1" ht="12" customHeight="1">
      <c r="A67" s="480" t="s">
        <v>1213</v>
      </c>
      <c r="B67" s="42">
        <v>231.85</v>
      </c>
      <c r="C67" s="43">
        <v>5.57</v>
      </c>
      <c r="D67" s="43">
        <v>5.66</v>
      </c>
      <c r="E67" s="42">
        <v>250.64</v>
      </c>
      <c r="F67" s="43">
        <v>5.56</v>
      </c>
      <c r="G67" s="42">
        <v>4.53</v>
      </c>
      <c r="H67" s="42">
        <v>207.75</v>
      </c>
      <c r="I67" s="43">
        <v>5.58</v>
      </c>
      <c r="J67" s="43">
        <v>7.39</v>
      </c>
      <c r="K67" s="42">
        <v>242.88</v>
      </c>
      <c r="L67" s="43">
        <v>190.65</v>
      </c>
      <c r="M67" s="42">
        <v>234.23</v>
      </c>
      <c r="N67" s="43">
        <v>206.38</v>
      </c>
      <c r="O67" s="43">
        <v>209.42</v>
      </c>
      <c r="P67" s="42">
        <v>172.76</v>
      </c>
      <c r="Q67" s="43">
        <v>216.65</v>
      </c>
    </row>
    <row r="68" spans="1:17" s="503" customFormat="1" ht="12" customHeight="1">
      <c r="A68" s="605" t="s">
        <v>1214</v>
      </c>
      <c r="B68" s="534">
        <v>231.18</v>
      </c>
      <c r="C68" s="537">
        <v>5.38</v>
      </c>
      <c r="D68" s="537">
        <v>5.61</v>
      </c>
      <c r="E68" s="534">
        <v>249.41</v>
      </c>
      <c r="F68" s="537">
        <v>5.41</v>
      </c>
      <c r="G68" s="534">
        <v>4.51</v>
      </c>
      <c r="H68" s="534">
        <v>207.81</v>
      </c>
      <c r="I68" s="537">
        <v>5.33</v>
      </c>
      <c r="J68" s="537">
        <v>7.29</v>
      </c>
      <c r="K68" s="534">
        <v>242.94</v>
      </c>
      <c r="L68" s="537">
        <v>190.68</v>
      </c>
      <c r="M68" s="534">
        <v>234.31</v>
      </c>
      <c r="N68" s="537">
        <v>206.42</v>
      </c>
      <c r="O68" s="537">
        <v>209.51</v>
      </c>
      <c r="P68" s="537">
        <v>172.8</v>
      </c>
      <c r="Q68" s="537">
        <v>216.74</v>
      </c>
    </row>
    <row r="69" spans="1:17" s="503" customFormat="1" ht="12" customHeight="1">
      <c r="A69" s="480" t="s">
        <v>1207</v>
      </c>
      <c r="B69" s="42">
        <v>231.53</v>
      </c>
      <c r="C69" s="43">
        <v>5.03</v>
      </c>
      <c r="D69" s="43">
        <v>5.52</v>
      </c>
      <c r="E69" s="42">
        <v>249.29</v>
      </c>
      <c r="F69" s="43">
        <v>5.38</v>
      </c>
      <c r="G69" s="43">
        <v>4.5</v>
      </c>
      <c r="H69" s="42">
        <v>208.76</v>
      </c>
      <c r="I69" s="43">
        <v>4.49</v>
      </c>
      <c r="J69" s="43">
        <v>7.07</v>
      </c>
      <c r="K69" s="42">
        <v>243.49</v>
      </c>
      <c r="L69" s="43">
        <v>190.87</v>
      </c>
      <c r="M69" s="42">
        <v>236.54</v>
      </c>
      <c r="N69" s="43">
        <v>206.83</v>
      </c>
      <c r="O69" s="43">
        <v>211.61</v>
      </c>
      <c r="P69" s="42">
        <v>172.91</v>
      </c>
      <c r="Q69" s="43">
        <v>219.53</v>
      </c>
    </row>
    <row r="70" spans="1:17" s="503" customFormat="1" ht="12" customHeight="1" thickBot="1">
      <c r="A70" s="1343" t="s">
        <v>1215</v>
      </c>
      <c r="B70" s="645">
        <v>234.34</v>
      </c>
      <c r="C70" s="1558">
        <v>5.15</v>
      </c>
      <c r="D70" s="1558">
        <v>5.44</v>
      </c>
      <c r="E70" s="645">
        <v>251.86</v>
      </c>
      <c r="F70" s="1558">
        <v>6.53</v>
      </c>
      <c r="G70" s="1558">
        <v>4.68</v>
      </c>
      <c r="H70" s="645">
        <v>211.88</v>
      </c>
      <c r="I70" s="1558">
        <v>3.1</v>
      </c>
      <c r="J70" s="1558">
        <v>6.6</v>
      </c>
      <c r="K70" s="645">
        <v>243.72</v>
      </c>
      <c r="L70" s="1558">
        <v>196.92</v>
      </c>
      <c r="M70" s="645">
        <v>237.24</v>
      </c>
      <c r="N70" s="1558">
        <v>206.9</v>
      </c>
      <c r="O70" s="1558">
        <v>212.14</v>
      </c>
      <c r="P70" s="1558">
        <v>182.2</v>
      </c>
      <c r="Q70" s="1558">
        <v>219.22</v>
      </c>
    </row>
    <row r="71" spans="1:17" ht="9.6" customHeight="1">
      <c r="A71" s="332" t="s">
        <v>1816</v>
      </c>
      <c r="B71" s="167"/>
      <c r="C71" s="167"/>
      <c r="D71" s="167"/>
      <c r="E71" s="167"/>
      <c r="F71" s="167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43"/>
    </row>
    <row r="72" spans="1:17" ht="9.6" customHeight="1">
      <c r="A72" s="332" t="s">
        <v>2872</v>
      </c>
      <c r="B72" s="167"/>
      <c r="C72" s="167"/>
      <c r="D72" s="167"/>
      <c r="E72" s="167"/>
      <c r="F72" s="167"/>
      <c r="G72" s="43"/>
      <c r="H72" s="2001" t="s">
        <v>2816</v>
      </c>
      <c r="I72" s="2001"/>
      <c r="J72" s="48"/>
      <c r="K72" s="43"/>
      <c r="L72" s="43"/>
      <c r="M72" s="43"/>
      <c r="N72" s="43"/>
      <c r="O72" s="43"/>
      <c r="P72" s="43"/>
      <c r="Q72" s="43"/>
    </row>
    <row r="73" spans="1:17" ht="8.85" customHeight="1">
      <c r="A73" s="2002" t="s">
        <v>773</v>
      </c>
      <c r="B73" s="2003"/>
      <c r="C73" s="2003"/>
      <c r="D73" s="2003"/>
      <c r="E73" s="2003"/>
      <c r="F73" s="2003"/>
      <c r="G73" s="2003"/>
      <c r="H73" s="2003"/>
      <c r="I73" s="2003"/>
    </row>
    <row r="74" spans="1:17" ht="8.85" customHeight="1">
      <c r="A74" s="48"/>
      <c r="B74" s="48"/>
      <c r="C74" s="48"/>
      <c r="D74" s="48"/>
      <c r="E74" s="123"/>
      <c r="F74" s="123"/>
      <c r="G74" s="1395"/>
      <c r="H74" s="123"/>
      <c r="I74" s="267"/>
      <c r="J74" s="1395"/>
      <c r="K74" s="110"/>
      <c r="L74" s="110"/>
      <c r="M74" s="110"/>
      <c r="N74" s="110"/>
    </row>
    <row r="75" spans="1:17">
      <c r="B75" s="135"/>
      <c r="C75" s="135"/>
      <c r="D75" s="135"/>
      <c r="E75" s="135"/>
      <c r="F75" s="135"/>
      <c r="H75" s="135"/>
      <c r="I75" s="483"/>
    </row>
    <row r="76" spans="1:17">
      <c r="C76" s="483"/>
      <c r="F76" s="483"/>
      <c r="G76" s="1395"/>
      <c r="H76" s="135"/>
      <c r="I76" s="483"/>
      <c r="J76" s="1395"/>
    </row>
    <row r="77" spans="1:17">
      <c r="A77" s="480"/>
      <c r="B77" s="483"/>
      <c r="C77" s="483"/>
      <c r="D77" s="483"/>
      <c r="F77" s="483"/>
      <c r="H77" s="135"/>
      <c r="I77" s="483"/>
      <c r="L77" s="483"/>
      <c r="M77" s="483"/>
      <c r="N77" s="483"/>
      <c r="O77" s="483"/>
      <c r="P77" s="483"/>
      <c r="Q77" s="483"/>
    </row>
    <row r="78" spans="1:17">
      <c r="B78" s="135"/>
      <c r="C78" s="135"/>
      <c r="D78" s="135"/>
      <c r="E78" s="135"/>
      <c r="F78" s="135"/>
      <c r="G78" s="1395"/>
      <c r="H78" s="135"/>
      <c r="I78" s="135"/>
      <c r="J78" s="1395"/>
    </row>
    <row r="79" spans="1:17">
      <c r="H79" s="135"/>
    </row>
    <row r="80" spans="1:17">
      <c r="H80" s="135"/>
    </row>
    <row r="81" spans="3:9">
      <c r="C81" s="1395"/>
      <c r="F81" s="135"/>
      <c r="I81" s="135"/>
    </row>
  </sheetData>
  <mergeCells count="30">
    <mergeCell ref="H72:I72"/>
    <mergeCell ref="M4:M5"/>
    <mergeCell ref="A73:I73"/>
    <mergeCell ref="A3:A5"/>
    <mergeCell ref="I6:J6"/>
    <mergeCell ref="C6:D6"/>
    <mergeCell ref="E4:E5"/>
    <mergeCell ref="J4:J5"/>
    <mergeCell ref="B4:B5"/>
    <mergeCell ref="D4:D5"/>
    <mergeCell ref="I4:I5"/>
    <mergeCell ref="F6:G6"/>
    <mergeCell ref="F4:F5"/>
    <mergeCell ref="P1:Q1"/>
    <mergeCell ref="K3:Q3"/>
    <mergeCell ref="O4:O5"/>
    <mergeCell ref="P4:P5"/>
    <mergeCell ref="K1:O1"/>
    <mergeCell ref="Q4:Q5"/>
    <mergeCell ref="L4:L5"/>
    <mergeCell ref="G2:J2"/>
    <mergeCell ref="N4:N5"/>
    <mergeCell ref="D1:J1"/>
    <mergeCell ref="H4:H5"/>
    <mergeCell ref="F3:G3"/>
    <mergeCell ref="K4:K5"/>
    <mergeCell ref="I3:J3"/>
    <mergeCell ref="C3:D3"/>
    <mergeCell ref="G4:G5"/>
    <mergeCell ref="C4:C5"/>
  </mergeCells>
  <phoneticPr fontId="0" type="noConversion"/>
  <pageMargins left="0.62992125984252001" right="0.39370078740157499" top="0.511811023622047" bottom="0.511811023622047" header="0" footer="0.511811023622047"/>
  <pageSetup paperSize="512" firstPageNumber="42" orientation="portrait" useFirstPageNumber="1" r:id="rId1"/>
  <headerFooter alignWithMargins="0">
    <oddFooter>&amp;C&amp;"Times New Roman,Regular"&amp;8&amp;P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J82"/>
  <sheetViews>
    <sheetView zoomScale="140" zoomScaleNormal="140" workbookViewId="0">
      <pane xSplit="2" ySplit="6" topLeftCell="H67" activePane="bottomRight" state="frozen"/>
      <selection pane="topRight" activeCell="C1" sqref="C1"/>
      <selection pane="bottomLeft" activeCell="A7" sqref="A7"/>
      <selection pane="bottomRight" activeCell="I77" sqref="I77"/>
    </sheetView>
  </sheetViews>
  <sheetFormatPr defaultColWidth="9.140625" defaultRowHeight="12.75"/>
  <cols>
    <col min="1" max="1" width="9.140625" style="2"/>
    <col min="2" max="2" width="2.85546875" style="2" customWidth="1"/>
    <col min="3" max="3" width="16.140625" style="2" customWidth="1"/>
    <col min="4" max="4" width="16" style="2" customWidth="1"/>
    <col min="5" max="5" width="14.85546875" style="2" customWidth="1"/>
    <col min="6" max="6" width="15.140625" style="2" customWidth="1"/>
    <col min="7" max="7" width="19.42578125" style="2" customWidth="1"/>
    <col min="8" max="8" width="21" style="2" customWidth="1"/>
    <col min="9" max="9" width="19.42578125" style="2" customWidth="1"/>
    <col min="10" max="10" width="15" style="2" customWidth="1"/>
    <col min="11" max="11" width="11.5703125" style="2" customWidth="1"/>
    <col min="12" max="12" width="11.42578125" style="2" customWidth="1"/>
    <col min="13" max="16384" width="9.140625" style="2"/>
  </cols>
  <sheetData>
    <row r="1" spans="1:10" s="50" customFormat="1" ht="17.25" customHeight="1">
      <c r="A1" s="1729" t="s">
        <v>887</v>
      </c>
      <c r="B1" s="1729"/>
      <c r="C1" s="1729"/>
      <c r="D1" s="1729"/>
      <c r="E1" s="1729"/>
      <c r="F1" s="1729"/>
      <c r="G1" s="2009" t="s">
        <v>888</v>
      </c>
      <c r="H1" s="2009"/>
      <c r="I1" s="92"/>
      <c r="J1" s="91" t="s">
        <v>2445</v>
      </c>
    </row>
    <row r="2" spans="1:10" ht="3.75" customHeight="1">
      <c r="A2" s="139"/>
      <c r="B2" s="139"/>
      <c r="C2" s="139"/>
      <c r="D2" s="139"/>
      <c r="E2" s="139"/>
      <c r="F2" s="139"/>
      <c r="G2" s="139"/>
      <c r="H2" s="139"/>
      <c r="I2" s="139"/>
      <c r="J2" s="139"/>
    </row>
    <row r="3" spans="1:10" s="1539" customFormat="1" ht="24" customHeight="1">
      <c r="A3" s="1827" t="s">
        <v>1132</v>
      </c>
      <c r="B3" s="1828"/>
      <c r="C3" s="2010" t="s">
        <v>367</v>
      </c>
      <c r="D3" s="2010"/>
      <c r="E3" s="2010" t="s">
        <v>241</v>
      </c>
      <c r="F3" s="2010"/>
      <c r="G3" s="1690" t="s">
        <v>2259</v>
      </c>
      <c r="H3" s="1689" t="s">
        <v>242</v>
      </c>
      <c r="I3" s="1689"/>
      <c r="J3" s="1728" t="s">
        <v>1132</v>
      </c>
    </row>
    <row r="4" spans="1:10" s="1539" customFormat="1">
      <c r="A4" s="1829"/>
      <c r="B4" s="1830"/>
      <c r="C4" s="1690" t="s">
        <v>2257</v>
      </c>
      <c r="D4" s="1690" t="s">
        <v>2256</v>
      </c>
      <c r="E4" s="1690" t="s">
        <v>2258</v>
      </c>
      <c r="F4" s="1690" t="s">
        <v>2254</v>
      </c>
      <c r="G4" s="1690"/>
      <c r="H4" s="1690" t="s">
        <v>2255</v>
      </c>
      <c r="I4" s="1690" t="s">
        <v>2260</v>
      </c>
      <c r="J4" s="1728"/>
    </row>
    <row r="5" spans="1:10" s="1539" customFormat="1">
      <c r="A5" s="1829"/>
      <c r="B5" s="1830"/>
      <c r="C5" s="1690"/>
      <c r="D5" s="1690"/>
      <c r="E5" s="1690"/>
      <c r="F5" s="1690"/>
      <c r="G5" s="1690"/>
      <c r="H5" s="1690"/>
      <c r="I5" s="1690"/>
      <c r="J5" s="1728"/>
    </row>
    <row r="6" spans="1:10" s="1539" customFormat="1" ht="12.75" customHeight="1">
      <c r="A6" s="1831"/>
      <c r="B6" s="1832"/>
      <c r="C6" s="1690"/>
      <c r="D6" s="1690"/>
      <c r="E6" s="1690"/>
      <c r="F6" s="1690"/>
      <c r="G6" s="1690"/>
      <c r="H6" s="1690"/>
      <c r="I6" s="1690"/>
      <c r="J6" s="1728"/>
    </row>
    <row r="7" spans="1:10" s="10" customFormat="1" ht="11.25" customHeight="1">
      <c r="A7" s="582">
        <v>1994</v>
      </c>
      <c r="B7" s="582"/>
      <c r="C7" s="577">
        <v>1269</v>
      </c>
      <c r="D7" s="577">
        <v>3217</v>
      </c>
      <c r="E7" s="536">
        <v>14</v>
      </c>
      <c r="F7" s="577">
        <v>5744</v>
      </c>
      <c r="G7" s="536">
        <v>45</v>
      </c>
      <c r="H7" s="577">
        <v>1132</v>
      </c>
      <c r="I7" s="577">
        <v>127</v>
      </c>
      <c r="J7" s="548">
        <v>1994</v>
      </c>
    </row>
    <row r="8" spans="1:10" s="10" customFormat="1" ht="12" customHeight="1">
      <c r="A8" s="243">
        <v>1995</v>
      </c>
      <c r="B8" s="243"/>
      <c r="C8" s="300">
        <v>1350</v>
      </c>
      <c r="D8" s="300">
        <v>3364</v>
      </c>
      <c r="E8" s="440">
        <v>16</v>
      </c>
      <c r="F8" s="300">
        <v>5838</v>
      </c>
      <c r="G8" s="440">
        <v>47</v>
      </c>
      <c r="H8" s="300">
        <v>1176</v>
      </c>
      <c r="I8" s="300">
        <v>125</v>
      </c>
      <c r="J8" s="62">
        <v>1995</v>
      </c>
    </row>
    <row r="9" spans="1:10" s="10" customFormat="1" ht="11.25" customHeight="1">
      <c r="A9" s="582">
        <v>1996</v>
      </c>
      <c r="B9" s="582"/>
      <c r="C9" s="577">
        <v>1806</v>
      </c>
      <c r="D9" s="577">
        <v>4218</v>
      </c>
      <c r="E9" s="536">
        <v>15</v>
      </c>
      <c r="F9" s="577">
        <v>5896</v>
      </c>
      <c r="G9" s="536">
        <v>52</v>
      </c>
      <c r="H9" s="577">
        <v>1222</v>
      </c>
      <c r="I9" s="577">
        <v>117</v>
      </c>
      <c r="J9" s="548">
        <v>1996</v>
      </c>
    </row>
    <row r="10" spans="1:10" s="10" customFormat="1" ht="11.25" customHeight="1">
      <c r="A10" s="243">
        <v>1997</v>
      </c>
      <c r="B10" s="243"/>
      <c r="C10" s="300">
        <v>1304</v>
      </c>
      <c r="D10" s="300">
        <v>3579</v>
      </c>
      <c r="E10" s="440">
        <v>13</v>
      </c>
      <c r="F10" s="300">
        <v>5552</v>
      </c>
      <c r="G10" s="440">
        <v>67</v>
      </c>
      <c r="H10" s="300">
        <v>1296</v>
      </c>
      <c r="I10" s="300">
        <v>138</v>
      </c>
      <c r="J10" s="62">
        <v>1997</v>
      </c>
    </row>
    <row r="11" spans="1:10" s="10" customFormat="1" ht="11.25" customHeight="1">
      <c r="A11" s="582">
        <v>1998</v>
      </c>
      <c r="B11" s="582"/>
      <c r="C11" s="577">
        <v>1185</v>
      </c>
      <c r="D11" s="577">
        <v>3275</v>
      </c>
      <c r="E11" s="536">
        <v>16</v>
      </c>
      <c r="F11" s="577">
        <v>5116</v>
      </c>
      <c r="G11" s="536">
        <v>85</v>
      </c>
      <c r="H11" s="577">
        <v>1028</v>
      </c>
      <c r="I11" s="577">
        <v>136</v>
      </c>
      <c r="J11" s="548">
        <v>1998</v>
      </c>
    </row>
    <row r="12" spans="1:10" s="10" customFormat="1" ht="11.25" customHeight="1">
      <c r="A12" s="243">
        <v>1999</v>
      </c>
      <c r="B12" s="243"/>
      <c r="C12" s="300">
        <v>1465</v>
      </c>
      <c r="D12" s="300">
        <v>3500</v>
      </c>
      <c r="E12" s="440">
        <v>17</v>
      </c>
      <c r="F12" s="300">
        <v>5227</v>
      </c>
      <c r="G12" s="440">
        <v>67</v>
      </c>
      <c r="H12" s="300">
        <v>861</v>
      </c>
      <c r="I12" s="300">
        <v>108</v>
      </c>
      <c r="J12" s="62">
        <v>1999</v>
      </c>
    </row>
    <row r="13" spans="1:10" s="10" customFormat="1" ht="11.25" customHeight="1">
      <c r="A13" s="582">
        <v>2000</v>
      </c>
      <c r="B13" s="582"/>
      <c r="C13" s="577" t="s">
        <v>1383</v>
      </c>
      <c r="D13" s="577">
        <v>3708</v>
      </c>
      <c r="E13" s="536">
        <v>15</v>
      </c>
      <c r="F13" s="577">
        <v>5613</v>
      </c>
      <c r="G13" s="536">
        <v>69</v>
      </c>
      <c r="H13" s="577">
        <v>941</v>
      </c>
      <c r="I13" s="577">
        <v>102</v>
      </c>
      <c r="J13" s="548">
        <v>2000</v>
      </c>
    </row>
    <row r="14" spans="1:10" s="10" customFormat="1" ht="10.5" customHeight="1">
      <c r="A14" s="243">
        <v>2001</v>
      </c>
      <c r="B14" s="243"/>
      <c r="C14" s="300">
        <v>1840</v>
      </c>
      <c r="D14" s="300">
        <v>4192</v>
      </c>
      <c r="E14" s="440">
        <v>14</v>
      </c>
      <c r="F14" s="300">
        <v>5650</v>
      </c>
      <c r="G14" s="440">
        <v>69</v>
      </c>
      <c r="H14" s="300">
        <v>1192</v>
      </c>
      <c r="I14" s="300">
        <v>111</v>
      </c>
      <c r="J14" s="62">
        <v>2001</v>
      </c>
    </row>
    <row r="15" spans="1:10" s="10" customFormat="1" ht="11.25" customHeight="1">
      <c r="A15" s="582">
        <v>2002</v>
      </c>
      <c r="B15" s="582"/>
      <c r="C15" s="577">
        <v>1624</v>
      </c>
      <c r="D15" s="577">
        <v>3760</v>
      </c>
      <c r="E15" s="536">
        <v>15</v>
      </c>
      <c r="F15" s="577">
        <v>6432</v>
      </c>
      <c r="G15" s="536">
        <v>69</v>
      </c>
      <c r="H15" s="577">
        <v>1137</v>
      </c>
      <c r="I15" s="577">
        <v>139</v>
      </c>
      <c r="J15" s="548">
        <v>2002</v>
      </c>
    </row>
    <row r="16" spans="1:10" s="10" customFormat="1" ht="11.25" customHeight="1">
      <c r="A16" s="243">
        <v>2003</v>
      </c>
      <c r="B16" s="243"/>
      <c r="C16" s="300">
        <v>1367</v>
      </c>
      <c r="D16" s="300">
        <v>3400</v>
      </c>
      <c r="E16" s="440">
        <v>16</v>
      </c>
      <c r="F16" s="300">
        <v>8442</v>
      </c>
      <c r="G16" s="440">
        <v>73</v>
      </c>
      <c r="H16" s="300">
        <v>1174</v>
      </c>
      <c r="I16" s="300">
        <v>175</v>
      </c>
      <c r="J16" s="62">
        <v>2003</v>
      </c>
    </row>
    <row r="17" spans="1:10" s="10" customFormat="1" ht="10.5" customHeight="1">
      <c r="A17" s="582">
        <v>2004</v>
      </c>
      <c r="B17" s="582"/>
      <c r="C17" s="577">
        <v>1677.3333333333333</v>
      </c>
      <c r="D17" s="577">
        <v>4071.1666666666665</v>
      </c>
      <c r="E17" s="536">
        <v>15.75</v>
      </c>
      <c r="F17" s="577">
        <v>9459.3333333333339</v>
      </c>
      <c r="G17" s="536">
        <v>71.583333333333329</v>
      </c>
      <c r="H17" s="577">
        <v>1174</v>
      </c>
      <c r="I17" s="577">
        <v>160.91666666666666</v>
      </c>
      <c r="J17" s="548">
        <v>2004</v>
      </c>
    </row>
    <row r="18" spans="1:10" s="10" customFormat="1" ht="11.25" customHeight="1">
      <c r="A18" s="243">
        <v>2005</v>
      </c>
      <c r="B18" s="243"/>
      <c r="C18" s="300">
        <v>2355.0833333333335</v>
      </c>
      <c r="D18" s="300">
        <v>5268.916666666667</v>
      </c>
      <c r="E18" s="440">
        <v>21.600000000000005</v>
      </c>
      <c r="F18" s="300">
        <v>10220.25</v>
      </c>
      <c r="G18" s="440">
        <v>81.714285714285708</v>
      </c>
      <c r="H18" s="300">
        <v>1256.4545454545455</v>
      </c>
      <c r="I18" s="300">
        <v>186.125</v>
      </c>
      <c r="J18" s="62">
        <v>2005</v>
      </c>
    </row>
    <row r="19" spans="1:10" s="10" customFormat="1" ht="9.75" customHeight="1">
      <c r="A19" s="582">
        <v>2006</v>
      </c>
      <c r="B19" s="582"/>
      <c r="C19" s="577">
        <v>2742.25</v>
      </c>
      <c r="D19" s="577">
        <v>6041.666666666667</v>
      </c>
      <c r="E19" s="536">
        <v>25.344285714285714</v>
      </c>
      <c r="F19" s="577">
        <v>13706.666666666666</v>
      </c>
      <c r="G19" s="536">
        <v>84.828466666666657</v>
      </c>
      <c r="H19" s="577">
        <v>990.41666666666663</v>
      </c>
      <c r="I19" s="577">
        <v>162.75</v>
      </c>
      <c r="J19" s="548">
        <v>2006</v>
      </c>
    </row>
    <row r="20" spans="1:10" s="10" customFormat="1" ht="11.25" customHeight="1">
      <c r="A20" s="243">
        <v>2007</v>
      </c>
      <c r="B20" s="243"/>
      <c r="C20" s="300">
        <v>2550.4166666666665</v>
      </c>
      <c r="D20" s="300">
        <v>5683.333333333333</v>
      </c>
      <c r="E20" s="440">
        <v>29.182500000000001</v>
      </c>
      <c r="F20" s="300">
        <v>14808.333333333334</v>
      </c>
      <c r="G20" s="440">
        <v>86.207887287051832</v>
      </c>
      <c r="H20" s="300">
        <v>1239.5833333333333</v>
      </c>
      <c r="I20" s="300">
        <v>166.58333333333334</v>
      </c>
      <c r="J20" s="62">
        <v>2007</v>
      </c>
    </row>
    <row r="21" spans="1:10" s="10" customFormat="1" ht="10.5" customHeight="1">
      <c r="A21" s="582">
        <v>2008</v>
      </c>
      <c r="B21" s="582"/>
      <c r="C21" s="577">
        <v>3128.9166666666665</v>
      </c>
      <c r="D21" s="577">
        <v>6691.666666666667</v>
      </c>
      <c r="E21" s="536">
        <v>42.047499999999999</v>
      </c>
      <c r="F21" s="577">
        <v>22825</v>
      </c>
      <c r="G21" s="536">
        <v>113.4179864994834</v>
      </c>
      <c r="H21" s="577">
        <v>1285</v>
      </c>
      <c r="I21" s="577">
        <v>165.25</v>
      </c>
      <c r="J21" s="548">
        <v>2008</v>
      </c>
    </row>
    <row r="22" spans="1:10" s="10" customFormat="1" ht="11.25" customHeight="1">
      <c r="A22" s="243">
        <v>2009</v>
      </c>
      <c r="B22" s="243"/>
      <c r="C22" s="300">
        <v>3756.3333333333335</v>
      </c>
      <c r="D22" s="300">
        <v>7758.333333333333</v>
      </c>
      <c r="E22" s="440">
        <v>35.204166666666673</v>
      </c>
      <c r="F22" s="300">
        <v>23980.833333333332</v>
      </c>
      <c r="G22" s="440">
        <v>128.69797063195713</v>
      </c>
      <c r="H22" s="300">
        <v>586.66666666666663</v>
      </c>
      <c r="I22" s="300">
        <v>90.25</v>
      </c>
      <c r="J22" s="62">
        <v>2009</v>
      </c>
    </row>
    <row r="23" spans="1:10" s="10" customFormat="1" ht="10.5" customHeight="1">
      <c r="A23" s="582">
        <v>2010</v>
      </c>
      <c r="B23" s="582"/>
      <c r="C23" s="577">
        <v>6190.916666666667</v>
      </c>
      <c r="D23" s="577">
        <v>13941.416666666666</v>
      </c>
      <c r="E23" s="536">
        <v>35.166666666666664</v>
      </c>
      <c r="F23" s="577">
        <v>31114.166666666668</v>
      </c>
      <c r="G23" s="536">
        <v>142.05333333333334</v>
      </c>
      <c r="H23" s="577">
        <v>912.5</v>
      </c>
      <c r="I23" s="577">
        <v>101.58333333333333</v>
      </c>
      <c r="J23" s="548">
        <v>2010</v>
      </c>
    </row>
    <row r="24" spans="1:10" s="317" customFormat="1" ht="10.5" customHeight="1">
      <c r="A24" s="452">
        <v>2011</v>
      </c>
      <c r="B24" s="452"/>
      <c r="C24" s="940">
        <v>5937.5</v>
      </c>
      <c r="D24" s="940">
        <v>13850</v>
      </c>
      <c r="E24" s="941">
        <v>37.541666666666664</v>
      </c>
      <c r="F24" s="940">
        <v>26950</v>
      </c>
      <c r="G24" s="941">
        <v>166.13499999999999</v>
      </c>
      <c r="H24" s="940">
        <v>1087.9166666666667</v>
      </c>
      <c r="I24" s="940">
        <v>156.33333333333334</v>
      </c>
      <c r="J24" s="942">
        <v>2011</v>
      </c>
    </row>
    <row r="25" spans="1:10" s="317" customFormat="1" ht="11.25" customHeight="1">
      <c r="A25" s="558">
        <v>2012</v>
      </c>
      <c r="B25" s="558"/>
      <c r="C25" s="577">
        <v>5833.333333333333</v>
      </c>
      <c r="D25" s="577">
        <v>13600</v>
      </c>
      <c r="E25" s="536">
        <v>32.875</v>
      </c>
      <c r="F25" s="577">
        <v>54033.333333333336</v>
      </c>
      <c r="G25" s="536">
        <v>172.94416666666669</v>
      </c>
      <c r="H25" s="577">
        <v>1053.125</v>
      </c>
      <c r="I25" s="577">
        <v>112.77777777777777</v>
      </c>
      <c r="J25" s="548">
        <v>2012</v>
      </c>
    </row>
    <row r="26" spans="1:10" s="410" customFormat="1" ht="10.5" customHeight="1">
      <c r="A26" s="889">
        <v>2013</v>
      </c>
      <c r="B26" s="907"/>
      <c r="C26" s="1021">
        <f>SUM(C27:C38)/12</f>
        <v>5375</v>
      </c>
      <c r="D26" s="1021">
        <f>SUM(D27:D38)/12</f>
        <v>12500</v>
      </c>
      <c r="E26" s="1022">
        <f>SUM(E27:E38)/12</f>
        <v>37.041666666666664</v>
      </c>
      <c r="F26" s="1021">
        <f>SUM(F27:F38)/11</f>
        <v>51868.181818181816</v>
      </c>
      <c r="G26" s="1022">
        <f>SUM(G27:G38)/12</f>
        <v>199.83166666666662</v>
      </c>
      <c r="H26" s="1021">
        <f>SUM(H27:H38)/7</f>
        <v>680</v>
      </c>
      <c r="I26" s="1021">
        <f>SUM(I27:I38)/12</f>
        <v>79.833333333333329</v>
      </c>
      <c r="J26" s="890">
        <v>2013</v>
      </c>
    </row>
    <row r="27" spans="1:10" s="410" customFormat="1" ht="9.4" hidden="1" customHeight="1">
      <c r="A27" s="582" t="s">
        <v>1215</v>
      </c>
      <c r="B27" s="525"/>
      <c r="C27" s="525">
        <v>5375</v>
      </c>
      <c r="D27" s="525">
        <v>12500</v>
      </c>
      <c r="E27" s="522">
        <v>34</v>
      </c>
      <c r="F27" s="524">
        <v>51000</v>
      </c>
      <c r="G27" s="522">
        <v>192.16</v>
      </c>
      <c r="H27" s="525" t="s">
        <v>836</v>
      </c>
      <c r="I27" s="525">
        <v>60</v>
      </c>
      <c r="J27" s="584" t="s">
        <v>1215</v>
      </c>
    </row>
    <row r="28" spans="1:10" s="410" customFormat="1" ht="9.4" hidden="1" customHeight="1">
      <c r="A28" s="452" t="s">
        <v>1216</v>
      </c>
      <c r="B28" s="437"/>
      <c r="C28" s="437">
        <v>5375</v>
      </c>
      <c r="D28" s="437">
        <v>12500</v>
      </c>
      <c r="E28" s="434">
        <v>34</v>
      </c>
      <c r="F28" s="436">
        <v>51000</v>
      </c>
      <c r="G28" s="434">
        <v>201.67</v>
      </c>
      <c r="H28" s="437" t="s">
        <v>836</v>
      </c>
      <c r="I28" s="437">
        <v>60</v>
      </c>
      <c r="J28" s="819" t="s">
        <v>1216</v>
      </c>
    </row>
    <row r="29" spans="1:10" s="410" customFormat="1" ht="9.4" hidden="1" customHeight="1">
      <c r="A29" s="582" t="s">
        <v>1208</v>
      </c>
      <c r="B29" s="525"/>
      <c r="C29" s="525">
        <v>5375</v>
      </c>
      <c r="D29" s="525">
        <v>12500</v>
      </c>
      <c r="E29" s="522">
        <v>37.5</v>
      </c>
      <c r="F29" s="524">
        <v>54650</v>
      </c>
      <c r="G29" s="522">
        <v>189.3</v>
      </c>
      <c r="H29" s="525" t="s">
        <v>836</v>
      </c>
      <c r="I29" s="525">
        <v>60</v>
      </c>
      <c r="J29" s="584" t="s">
        <v>1208</v>
      </c>
    </row>
    <row r="30" spans="1:10" s="410" customFormat="1" ht="9.4" hidden="1" customHeight="1">
      <c r="A30" s="452" t="s">
        <v>1217</v>
      </c>
      <c r="B30" s="437"/>
      <c r="C30" s="437">
        <v>5375</v>
      </c>
      <c r="D30" s="437">
        <v>12500</v>
      </c>
      <c r="E30" s="434">
        <v>36</v>
      </c>
      <c r="F30" s="436">
        <v>54700</v>
      </c>
      <c r="G30" s="434">
        <v>201.67</v>
      </c>
      <c r="H30" s="437">
        <v>680</v>
      </c>
      <c r="I30" s="437">
        <v>60</v>
      </c>
      <c r="J30" s="819" t="s">
        <v>1217</v>
      </c>
    </row>
    <row r="31" spans="1:10" s="410" customFormat="1" ht="9.4" hidden="1" customHeight="1">
      <c r="A31" s="582" t="s">
        <v>1218</v>
      </c>
      <c r="B31" s="525"/>
      <c r="C31" s="525">
        <v>5375</v>
      </c>
      <c r="D31" s="525">
        <v>12500</v>
      </c>
      <c r="E31" s="522">
        <v>36</v>
      </c>
      <c r="F31" s="524">
        <v>54700</v>
      </c>
      <c r="G31" s="522">
        <v>186.3</v>
      </c>
      <c r="H31" s="525">
        <v>680</v>
      </c>
      <c r="I31" s="525">
        <v>60</v>
      </c>
      <c r="J31" s="584" t="s">
        <v>1218</v>
      </c>
    </row>
    <row r="32" spans="1:10" s="410" customFormat="1" ht="9.4" hidden="1" customHeight="1">
      <c r="A32" s="452" t="s">
        <v>1209</v>
      </c>
      <c r="B32" s="437"/>
      <c r="C32" s="437">
        <v>5375</v>
      </c>
      <c r="D32" s="437">
        <v>12500</v>
      </c>
      <c r="E32" s="434">
        <v>36</v>
      </c>
      <c r="F32" s="436" t="s">
        <v>836</v>
      </c>
      <c r="G32" s="434">
        <v>202.07</v>
      </c>
      <c r="H32" s="437">
        <v>680</v>
      </c>
      <c r="I32" s="437">
        <v>60</v>
      </c>
      <c r="J32" s="819" t="s">
        <v>1209</v>
      </c>
    </row>
    <row r="33" spans="1:10" s="410" customFormat="1" ht="9.4" hidden="1" customHeight="1">
      <c r="A33" s="582" t="s">
        <v>1211</v>
      </c>
      <c r="B33" s="525"/>
      <c r="C33" s="525">
        <v>5375</v>
      </c>
      <c r="D33" s="525">
        <v>12500</v>
      </c>
      <c r="E33" s="522">
        <v>36</v>
      </c>
      <c r="F33" s="524">
        <v>51000</v>
      </c>
      <c r="G33" s="522">
        <v>209.76</v>
      </c>
      <c r="H33" s="525">
        <v>680</v>
      </c>
      <c r="I33" s="525">
        <v>80</v>
      </c>
      <c r="J33" s="584" t="s">
        <v>1211</v>
      </c>
    </row>
    <row r="34" spans="1:10" s="410" customFormat="1" ht="9.4" hidden="1" customHeight="1">
      <c r="A34" s="452" t="s">
        <v>1212</v>
      </c>
      <c r="B34" s="437"/>
      <c r="C34" s="437">
        <v>5375</v>
      </c>
      <c r="D34" s="437">
        <v>12500</v>
      </c>
      <c r="E34" s="434">
        <v>37</v>
      </c>
      <c r="F34" s="436">
        <v>51000</v>
      </c>
      <c r="G34" s="434">
        <v>224.95</v>
      </c>
      <c r="H34" s="437">
        <v>680</v>
      </c>
      <c r="I34" s="437">
        <v>88</v>
      </c>
      <c r="J34" s="819" t="s">
        <v>1212</v>
      </c>
    </row>
    <row r="35" spans="1:10" s="410" customFormat="1" ht="9.4" hidden="1" customHeight="1">
      <c r="A35" s="582" t="s">
        <v>1206</v>
      </c>
      <c r="B35" s="525"/>
      <c r="C35" s="525">
        <v>5375</v>
      </c>
      <c r="D35" s="525">
        <v>12500</v>
      </c>
      <c r="E35" s="522">
        <v>38</v>
      </c>
      <c r="F35" s="524">
        <v>51000</v>
      </c>
      <c r="G35" s="522">
        <v>206.36</v>
      </c>
      <c r="H35" s="525">
        <v>680</v>
      </c>
      <c r="I35" s="525">
        <v>92</v>
      </c>
      <c r="J35" s="584" t="s">
        <v>1206</v>
      </c>
    </row>
    <row r="36" spans="1:10" s="410" customFormat="1" ht="9.4" hidden="1" customHeight="1">
      <c r="A36" s="452" t="s">
        <v>1213</v>
      </c>
      <c r="B36" s="437"/>
      <c r="C36" s="437">
        <v>5375</v>
      </c>
      <c r="D36" s="437">
        <v>12500</v>
      </c>
      <c r="E36" s="434">
        <v>40</v>
      </c>
      <c r="F36" s="436">
        <v>50000</v>
      </c>
      <c r="G36" s="434">
        <v>208.23</v>
      </c>
      <c r="H36" s="437">
        <v>680</v>
      </c>
      <c r="I36" s="437">
        <v>110</v>
      </c>
      <c r="J36" s="819" t="s">
        <v>1213</v>
      </c>
    </row>
    <row r="37" spans="1:10" s="410" customFormat="1" ht="9.4" hidden="1" customHeight="1">
      <c r="A37" s="582" t="s">
        <v>1214</v>
      </c>
      <c r="B37" s="525"/>
      <c r="C37" s="525">
        <v>5375</v>
      </c>
      <c r="D37" s="525">
        <v>12500</v>
      </c>
      <c r="E37" s="522">
        <v>40</v>
      </c>
      <c r="F37" s="524">
        <v>51500</v>
      </c>
      <c r="G37" s="522">
        <v>186.1</v>
      </c>
      <c r="H37" s="525" t="s">
        <v>836</v>
      </c>
      <c r="I37" s="525">
        <v>114</v>
      </c>
      <c r="J37" s="584" t="s">
        <v>1214</v>
      </c>
    </row>
    <row r="38" spans="1:10" s="410" customFormat="1" ht="9.4" hidden="1" customHeight="1">
      <c r="A38" s="452" t="s">
        <v>1207</v>
      </c>
      <c r="B38" s="437"/>
      <c r="C38" s="437">
        <v>5375</v>
      </c>
      <c r="D38" s="437">
        <v>12500</v>
      </c>
      <c r="E38" s="434">
        <v>40</v>
      </c>
      <c r="F38" s="436">
        <v>50000</v>
      </c>
      <c r="G38" s="434">
        <v>189.41</v>
      </c>
      <c r="H38" s="437" t="s">
        <v>836</v>
      </c>
      <c r="I38" s="437">
        <v>114</v>
      </c>
      <c r="J38" s="819" t="s">
        <v>1207</v>
      </c>
    </row>
    <row r="39" spans="1:10" s="410" customFormat="1" ht="11.25" customHeight="1">
      <c r="A39" s="1046">
        <v>2014</v>
      </c>
      <c r="B39" s="1054"/>
      <c r="C39" s="905">
        <f>SUM(C40:C51)/12</f>
        <v>5375</v>
      </c>
      <c r="D39" s="905">
        <f>SUM(D40:D51)/12</f>
        <v>12500</v>
      </c>
      <c r="E39" s="906">
        <f>SUM(E40:E51)/12</f>
        <v>40</v>
      </c>
      <c r="F39" s="905">
        <f>SUM(F40:F51)/11</f>
        <v>49018.181818181816</v>
      </c>
      <c r="G39" s="906">
        <f>SUM(G40:G51)/12</f>
        <v>185.97166666666666</v>
      </c>
      <c r="H39" s="905">
        <f>SUM(H40:H51)/12</f>
        <v>1078.75</v>
      </c>
      <c r="I39" s="905">
        <f>SUM(I40:I51)/12</f>
        <v>109.33333333333333</v>
      </c>
      <c r="J39" s="586">
        <v>2014</v>
      </c>
    </row>
    <row r="40" spans="1:10" s="410" customFormat="1" ht="9.4" hidden="1" customHeight="1">
      <c r="A40" s="452" t="s">
        <v>1215</v>
      </c>
      <c r="B40" s="437"/>
      <c r="C40" s="437">
        <v>5375</v>
      </c>
      <c r="D40" s="437">
        <v>12500</v>
      </c>
      <c r="E40" s="434">
        <v>40</v>
      </c>
      <c r="F40" s="436">
        <v>51500</v>
      </c>
      <c r="G40" s="434">
        <v>197.18</v>
      </c>
      <c r="H40" s="437">
        <v>840</v>
      </c>
      <c r="I40" s="437">
        <v>95</v>
      </c>
      <c r="J40" s="819" t="s">
        <v>1215</v>
      </c>
    </row>
    <row r="41" spans="1:10" s="410" customFormat="1" ht="9.4" hidden="1" customHeight="1">
      <c r="A41" s="582" t="s">
        <v>1216</v>
      </c>
      <c r="B41" s="525"/>
      <c r="C41" s="525">
        <v>5375</v>
      </c>
      <c r="D41" s="525">
        <v>12500</v>
      </c>
      <c r="E41" s="522">
        <v>40</v>
      </c>
      <c r="F41" s="524">
        <v>51700</v>
      </c>
      <c r="G41" s="522">
        <v>186.18</v>
      </c>
      <c r="H41" s="525">
        <v>840</v>
      </c>
      <c r="I41" s="525">
        <v>110</v>
      </c>
      <c r="J41" s="584" t="s">
        <v>1216</v>
      </c>
    </row>
    <row r="42" spans="1:10" s="410" customFormat="1" ht="9.4" hidden="1" customHeight="1">
      <c r="A42" s="452" t="s">
        <v>1208</v>
      </c>
      <c r="B42" s="437"/>
      <c r="C42" s="437">
        <v>5375</v>
      </c>
      <c r="D42" s="437">
        <v>12500</v>
      </c>
      <c r="E42" s="434">
        <v>40</v>
      </c>
      <c r="F42" s="436">
        <v>51500</v>
      </c>
      <c r="G42" s="434">
        <v>154.62</v>
      </c>
      <c r="H42" s="437">
        <v>840</v>
      </c>
      <c r="I42" s="437">
        <v>108</v>
      </c>
      <c r="J42" s="819" t="s">
        <v>1208</v>
      </c>
    </row>
    <row r="43" spans="1:10" s="410" customFormat="1" ht="9.4" hidden="1" customHeight="1">
      <c r="A43" s="582" t="s">
        <v>1217</v>
      </c>
      <c r="B43" s="525"/>
      <c r="C43" s="525">
        <v>5375</v>
      </c>
      <c r="D43" s="525">
        <v>12500</v>
      </c>
      <c r="E43" s="522">
        <v>40</v>
      </c>
      <c r="F43" s="524">
        <v>51500</v>
      </c>
      <c r="G43" s="522">
        <v>151.35</v>
      </c>
      <c r="H43" s="525">
        <v>1000</v>
      </c>
      <c r="I43" s="525">
        <v>100</v>
      </c>
      <c r="J43" s="584" t="s">
        <v>1217</v>
      </c>
    </row>
    <row r="44" spans="1:10" s="410" customFormat="1" ht="9.4" hidden="1" customHeight="1">
      <c r="A44" s="452" t="s">
        <v>1218</v>
      </c>
      <c r="B44" s="437"/>
      <c r="C44" s="437">
        <v>5375</v>
      </c>
      <c r="D44" s="437">
        <v>12500</v>
      </c>
      <c r="E44" s="434">
        <v>40</v>
      </c>
      <c r="F44" s="940">
        <v>51500</v>
      </c>
      <c r="G44" s="434">
        <v>165.97</v>
      </c>
      <c r="H44" s="437">
        <v>1100</v>
      </c>
      <c r="I44" s="437">
        <v>120</v>
      </c>
      <c r="J44" s="819" t="s">
        <v>1218</v>
      </c>
    </row>
    <row r="45" spans="1:10" s="410" customFormat="1" ht="9.4" hidden="1" customHeight="1">
      <c r="A45" s="582" t="s">
        <v>1209</v>
      </c>
      <c r="B45" s="525"/>
      <c r="C45" s="525">
        <v>5375</v>
      </c>
      <c r="D45" s="525">
        <v>12500</v>
      </c>
      <c r="E45" s="522">
        <v>40</v>
      </c>
      <c r="F45" s="577">
        <v>51500</v>
      </c>
      <c r="G45" s="522">
        <v>151.55000000000001</v>
      </c>
      <c r="H45" s="525">
        <v>1100</v>
      </c>
      <c r="I45" s="525">
        <v>115</v>
      </c>
      <c r="J45" s="584" t="s">
        <v>1209</v>
      </c>
    </row>
    <row r="46" spans="1:10" s="410" customFormat="1" ht="9.4" hidden="1" customHeight="1">
      <c r="A46" s="452" t="s">
        <v>1211</v>
      </c>
      <c r="B46" s="437"/>
      <c r="C46" s="437">
        <v>5375</v>
      </c>
      <c r="D46" s="437">
        <v>12500</v>
      </c>
      <c r="E46" s="434">
        <v>40</v>
      </c>
      <c r="F46" s="940">
        <v>46000</v>
      </c>
      <c r="G46" s="434">
        <v>209.76</v>
      </c>
      <c r="H46" s="437">
        <v>1100</v>
      </c>
      <c r="I46" s="437">
        <v>135</v>
      </c>
      <c r="J46" s="819" t="s">
        <v>1211</v>
      </c>
    </row>
    <row r="47" spans="1:10" s="410" customFormat="1" ht="9.4" hidden="1" customHeight="1">
      <c r="A47" s="582" t="s">
        <v>1212</v>
      </c>
      <c r="B47" s="525"/>
      <c r="C47" s="525">
        <v>5375</v>
      </c>
      <c r="D47" s="525">
        <v>12500</v>
      </c>
      <c r="E47" s="522">
        <v>40</v>
      </c>
      <c r="F47" s="577">
        <v>46000</v>
      </c>
      <c r="G47" s="522">
        <v>224.95</v>
      </c>
      <c r="H47" s="525">
        <v>1100</v>
      </c>
      <c r="I47" s="525">
        <v>112</v>
      </c>
      <c r="J47" s="584" t="s">
        <v>1212</v>
      </c>
    </row>
    <row r="48" spans="1:10" s="410" customFormat="1" ht="9.4" hidden="1" customHeight="1">
      <c r="A48" s="452" t="s">
        <v>1206</v>
      </c>
      <c r="B48" s="437"/>
      <c r="C48" s="437">
        <v>5375</v>
      </c>
      <c r="D48" s="437">
        <v>12500</v>
      </c>
      <c r="E48" s="434">
        <v>40</v>
      </c>
      <c r="F48" s="940">
        <v>46000</v>
      </c>
      <c r="G48" s="434">
        <v>206.36</v>
      </c>
      <c r="H48" s="437">
        <v>1100</v>
      </c>
      <c r="I48" s="437">
        <v>110</v>
      </c>
      <c r="J48" s="819" t="s">
        <v>1206</v>
      </c>
    </row>
    <row r="49" spans="1:10" s="410" customFormat="1" ht="9.4" hidden="1" customHeight="1">
      <c r="A49" s="582" t="s">
        <v>1213</v>
      </c>
      <c r="B49" s="525"/>
      <c r="C49" s="525">
        <v>5375</v>
      </c>
      <c r="D49" s="525">
        <v>12500</v>
      </c>
      <c r="E49" s="522">
        <v>40</v>
      </c>
      <c r="F49" s="577">
        <v>46000</v>
      </c>
      <c r="G49" s="522">
        <v>208.23</v>
      </c>
      <c r="H49" s="525">
        <v>1300</v>
      </c>
      <c r="I49" s="525">
        <v>110</v>
      </c>
      <c r="J49" s="584" t="s">
        <v>1213</v>
      </c>
    </row>
    <row r="50" spans="1:10" s="410" customFormat="1" ht="9.4" hidden="1" customHeight="1">
      <c r="A50" s="452" t="s">
        <v>1214</v>
      </c>
      <c r="B50" s="437"/>
      <c r="C50" s="437">
        <v>5375</v>
      </c>
      <c r="D50" s="437">
        <v>12500</v>
      </c>
      <c r="E50" s="434">
        <v>40</v>
      </c>
      <c r="F50" s="940">
        <v>46000</v>
      </c>
      <c r="G50" s="434">
        <v>186.1</v>
      </c>
      <c r="H50" s="437">
        <v>1300</v>
      </c>
      <c r="I50" s="437">
        <v>105</v>
      </c>
      <c r="J50" s="819" t="s">
        <v>1214</v>
      </c>
    </row>
    <row r="51" spans="1:10" s="410" customFormat="1" ht="9.4" hidden="1" customHeight="1">
      <c r="A51" s="582" t="s">
        <v>1207</v>
      </c>
      <c r="B51" s="525"/>
      <c r="C51" s="525">
        <v>5375</v>
      </c>
      <c r="D51" s="525">
        <v>12500</v>
      </c>
      <c r="E51" s="522">
        <v>40</v>
      </c>
      <c r="F51" s="585" t="s">
        <v>836</v>
      </c>
      <c r="G51" s="536">
        <v>189.41</v>
      </c>
      <c r="H51" s="525">
        <v>1325</v>
      </c>
      <c r="I51" s="525">
        <v>92</v>
      </c>
      <c r="J51" s="584" t="s">
        <v>1207</v>
      </c>
    </row>
    <row r="52" spans="1:10" s="410" customFormat="1" ht="9.75" customHeight="1">
      <c r="A52" s="1184">
        <v>2015</v>
      </c>
      <c r="B52" s="437"/>
      <c r="C52" s="1452">
        <f>SUM(C53:C64)/12</f>
        <v>5375</v>
      </c>
      <c r="D52" s="1452">
        <f>SUM(D53:D64)/12</f>
        <v>12500</v>
      </c>
      <c r="E52" s="1115">
        <f>SUM(E53:E64)/12</f>
        <v>37.666666666666664</v>
      </c>
      <c r="F52" s="1298" t="s">
        <v>836</v>
      </c>
      <c r="G52" s="1115">
        <f>SUM(G53:G64)/12</f>
        <v>166.07666666666668</v>
      </c>
      <c r="H52" s="1452">
        <f>SUM(H53:H64)/12</f>
        <v>1287.5</v>
      </c>
      <c r="I52" s="1452">
        <f>SUM(I53:I64)/12</f>
        <v>96.416666666666671</v>
      </c>
      <c r="J52" s="1451">
        <v>2015</v>
      </c>
    </row>
    <row r="53" spans="1:10" s="410" customFormat="1" ht="10.5" customHeight="1">
      <c r="A53" s="582" t="s">
        <v>1215</v>
      </c>
      <c r="B53" s="525"/>
      <c r="C53" s="525">
        <v>5375</v>
      </c>
      <c r="D53" s="525">
        <v>12500</v>
      </c>
      <c r="E53" s="522">
        <v>40</v>
      </c>
      <c r="F53" s="585" t="s">
        <v>836</v>
      </c>
      <c r="G53" s="536">
        <v>197.18</v>
      </c>
      <c r="H53" s="525">
        <v>1400</v>
      </c>
      <c r="I53" s="525">
        <v>78</v>
      </c>
      <c r="J53" s="584" t="s">
        <v>1215</v>
      </c>
    </row>
    <row r="54" spans="1:10" s="410" customFormat="1" ht="9.9499999999999993" customHeight="1">
      <c r="A54" s="452" t="s">
        <v>1216</v>
      </c>
      <c r="B54" s="437"/>
      <c r="C54" s="437">
        <v>5375</v>
      </c>
      <c r="D54" s="437">
        <v>12500</v>
      </c>
      <c r="E54" s="434">
        <v>40</v>
      </c>
      <c r="F54" s="1149" t="s">
        <v>836</v>
      </c>
      <c r="G54" s="941">
        <v>186.18</v>
      </c>
      <c r="H54" s="437">
        <v>1250</v>
      </c>
      <c r="I54" s="437">
        <v>62</v>
      </c>
      <c r="J54" s="819" t="s">
        <v>1216</v>
      </c>
    </row>
    <row r="55" spans="1:10" s="410" customFormat="1" ht="9.9499999999999993" customHeight="1">
      <c r="A55" s="582" t="s">
        <v>1208</v>
      </c>
      <c r="B55" s="525"/>
      <c r="C55" s="525">
        <v>5375</v>
      </c>
      <c r="D55" s="525">
        <v>12500</v>
      </c>
      <c r="E55" s="522">
        <v>40</v>
      </c>
      <c r="F55" s="585" t="s">
        <v>836</v>
      </c>
      <c r="G55" s="536">
        <v>154.62</v>
      </c>
      <c r="H55" s="525">
        <v>1250</v>
      </c>
      <c r="I55" s="525">
        <v>62</v>
      </c>
      <c r="J55" s="584" t="s">
        <v>1208</v>
      </c>
    </row>
    <row r="56" spans="1:10" s="410" customFormat="1" ht="9.9499999999999993" customHeight="1">
      <c r="A56" s="452" t="s">
        <v>1217</v>
      </c>
      <c r="B56" s="437"/>
      <c r="C56" s="437">
        <v>5375</v>
      </c>
      <c r="D56" s="437">
        <v>12500</v>
      </c>
      <c r="E56" s="434">
        <v>38</v>
      </c>
      <c r="F56" s="1149" t="s">
        <v>836</v>
      </c>
      <c r="G56" s="941">
        <v>151.35</v>
      </c>
      <c r="H56" s="437">
        <v>1200</v>
      </c>
      <c r="I56" s="437">
        <v>55</v>
      </c>
      <c r="J56" s="819" t="s">
        <v>1217</v>
      </c>
    </row>
    <row r="57" spans="1:10" s="410" customFormat="1" ht="9.9499999999999993" customHeight="1">
      <c r="A57" s="582" t="s">
        <v>1218</v>
      </c>
      <c r="B57" s="525"/>
      <c r="C57" s="525">
        <v>5375</v>
      </c>
      <c r="D57" s="525">
        <v>12500</v>
      </c>
      <c r="E57" s="522">
        <v>38</v>
      </c>
      <c r="F57" s="585" t="s">
        <v>836</v>
      </c>
      <c r="G57" s="536">
        <v>165.97</v>
      </c>
      <c r="H57" s="525">
        <v>1150</v>
      </c>
      <c r="I57" s="525">
        <v>50</v>
      </c>
      <c r="J57" s="584" t="s">
        <v>1218</v>
      </c>
    </row>
    <row r="58" spans="1:10" s="410" customFormat="1" ht="11.25" customHeight="1">
      <c r="A58" s="452" t="s">
        <v>1209</v>
      </c>
      <c r="B58" s="437"/>
      <c r="C58" s="437">
        <v>5375</v>
      </c>
      <c r="D58" s="437">
        <v>12500</v>
      </c>
      <c r="E58" s="434">
        <v>36</v>
      </c>
      <c r="F58" s="1298" t="s">
        <v>836</v>
      </c>
      <c r="G58" s="434">
        <v>151.55000000000001</v>
      </c>
      <c r="H58" s="437">
        <v>1175</v>
      </c>
      <c r="I58" s="437">
        <v>50</v>
      </c>
      <c r="J58" s="819" t="s">
        <v>1209</v>
      </c>
    </row>
    <row r="59" spans="1:10" s="410" customFormat="1" ht="11.25" customHeight="1">
      <c r="A59" s="582" t="s">
        <v>1211</v>
      </c>
      <c r="B59" s="525"/>
      <c r="C59" s="525">
        <v>5375</v>
      </c>
      <c r="D59" s="525">
        <v>12500</v>
      </c>
      <c r="E59" s="522">
        <v>36</v>
      </c>
      <c r="F59" s="1299" t="s">
        <v>836</v>
      </c>
      <c r="G59" s="522">
        <v>167.24</v>
      </c>
      <c r="H59" s="525">
        <v>1450</v>
      </c>
      <c r="I59" s="525">
        <v>165</v>
      </c>
      <c r="J59" s="584" t="s">
        <v>1211</v>
      </c>
    </row>
    <row r="60" spans="1:10" s="37" customFormat="1" ht="11.25" customHeight="1">
      <c r="A60" s="452" t="s">
        <v>1212</v>
      </c>
      <c r="B60" s="437"/>
      <c r="C60" s="437">
        <v>5375</v>
      </c>
      <c r="D60" s="437">
        <v>12500</v>
      </c>
      <c r="E60" s="434">
        <v>36</v>
      </c>
      <c r="F60" s="1298" t="s">
        <v>836</v>
      </c>
      <c r="G60" s="434">
        <v>154.44</v>
      </c>
      <c r="H60" s="437">
        <v>1375</v>
      </c>
      <c r="I60" s="437">
        <v>140</v>
      </c>
      <c r="J60" s="819" t="s">
        <v>1212</v>
      </c>
    </row>
    <row r="61" spans="1:10" s="37" customFormat="1" ht="12" customHeight="1">
      <c r="A61" s="582" t="s">
        <v>1206</v>
      </c>
      <c r="B61" s="525"/>
      <c r="C61" s="525">
        <v>5375</v>
      </c>
      <c r="D61" s="525">
        <v>12500</v>
      </c>
      <c r="E61" s="522">
        <v>37</v>
      </c>
      <c r="F61" s="1299" t="s">
        <v>836</v>
      </c>
      <c r="G61" s="522">
        <v>152.49</v>
      </c>
      <c r="H61" s="525">
        <v>1325</v>
      </c>
      <c r="I61" s="525">
        <v>135</v>
      </c>
      <c r="J61" s="584" t="s">
        <v>1206</v>
      </c>
    </row>
    <row r="62" spans="1:10" s="37" customFormat="1" ht="11.25" customHeight="1">
      <c r="A62" s="452" t="s">
        <v>1213</v>
      </c>
      <c r="B62" s="437"/>
      <c r="C62" s="437">
        <v>5375</v>
      </c>
      <c r="D62" s="437">
        <v>12500</v>
      </c>
      <c r="E62" s="434">
        <v>37</v>
      </c>
      <c r="F62" s="1298" t="s">
        <v>836</v>
      </c>
      <c r="G62" s="434">
        <v>164.77</v>
      </c>
      <c r="H62" s="437">
        <v>1350</v>
      </c>
      <c r="I62" s="437">
        <v>125</v>
      </c>
      <c r="J62" s="819" t="s">
        <v>1213</v>
      </c>
    </row>
    <row r="63" spans="1:10" s="37" customFormat="1" ht="12" customHeight="1">
      <c r="A63" s="582" t="s">
        <v>1214</v>
      </c>
      <c r="B63" s="525"/>
      <c r="C63" s="525">
        <v>5375</v>
      </c>
      <c r="D63" s="525">
        <v>12500</v>
      </c>
      <c r="E63" s="522">
        <v>37</v>
      </c>
      <c r="F63" s="1299" t="s">
        <v>836</v>
      </c>
      <c r="G63" s="522">
        <v>166.93</v>
      </c>
      <c r="H63" s="525">
        <v>1300</v>
      </c>
      <c r="I63" s="525">
        <v>115</v>
      </c>
      <c r="J63" s="584" t="s">
        <v>1214</v>
      </c>
    </row>
    <row r="64" spans="1:10" s="37" customFormat="1" ht="11.25" customHeight="1">
      <c r="A64" s="452" t="s">
        <v>1207</v>
      </c>
      <c r="B64" s="437"/>
      <c r="C64" s="437">
        <v>5375</v>
      </c>
      <c r="D64" s="437">
        <v>12500</v>
      </c>
      <c r="E64" s="434">
        <v>37</v>
      </c>
      <c r="F64" s="1298" t="s">
        <v>836</v>
      </c>
      <c r="G64" s="434">
        <v>180.2</v>
      </c>
      <c r="H64" s="437">
        <v>1225</v>
      </c>
      <c r="I64" s="437">
        <v>120</v>
      </c>
      <c r="J64" s="819" t="s">
        <v>1207</v>
      </c>
    </row>
    <row r="65" spans="1:10" s="37" customFormat="1" ht="12" customHeight="1">
      <c r="A65" s="1450">
        <v>2016</v>
      </c>
      <c r="B65" s="525"/>
      <c r="C65" s="1054">
        <f>SUM(C66:C77)/12</f>
        <v>5375</v>
      </c>
      <c r="D65" s="1537">
        <f>SUM(D66:D77)/12</f>
        <v>12500</v>
      </c>
      <c r="E65" s="1538">
        <f>SUM(E66:E77)/12</f>
        <v>38.416666666666664</v>
      </c>
      <c r="F65" s="1299" t="s">
        <v>836</v>
      </c>
      <c r="G65" s="1538">
        <f>SUM(G66:G77)/12</f>
        <v>161.27999999999997</v>
      </c>
      <c r="H65" s="1537">
        <f>SUM(H66:H77)/12</f>
        <v>1009.1666666666666</v>
      </c>
      <c r="I65" s="1537">
        <f>SUM(I66:I77)/12</f>
        <v>87</v>
      </c>
      <c r="J65" s="586">
        <v>2016</v>
      </c>
    </row>
    <row r="66" spans="1:10" s="37" customFormat="1" ht="12" customHeight="1">
      <c r="A66" s="452" t="s">
        <v>1215</v>
      </c>
      <c r="B66" s="437"/>
      <c r="C66" s="437">
        <v>5375</v>
      </c>
      <c r="D66" s="437">
        <v>12500</v>
      </c>
      <c r="E66" s="434">
        <v>38</v>
      </c>
      <c r="F66" s="1298" t="s">
        <v>836</v>
      </c>
      <c r="G66" s="434">
        <v>172.99</v>
      </c>
      <c r="H66" s="437">
        <v>1200</v>
      </c>
      <c r="I66" s="437">
        <v>110</v>
      </c>
      <c r="J66" s="819" t="s">
        <v>1215</v>
      </c>
    </row>
    <row r="67" spans="1:10" s="37" customFormat="1" ht="14.25" customHeight="1">
      <c r="A67" s="582" t="s">
        <v>1216</v>
      </c>
      <c r="B67" s="525"/>
      <c r="C67" s="525">
        <v>5375</v>
      </c>
      <c r="D67" s="525">
        <v>12500</v>
      </c>
      <c r="E67" s="522">
        <v>38</v>
      </c>
      <c r="F67" s="1299" t="s">
        <v>836</v>
      </c>
      <c r="G67" s="522">
        <v>132.86000000000001</v>
      </c>
      <c r="H67" s="525">
        <v>1080</v>
      </c>
      <c r="I67" s="525">
        <v>100</v>
      </c>
      <c r="J67" s="584" t="s">
        <v>1216</v>
      </c>
    </row>
    <row r="68" spans="1:10" s="37" customFormat="1" ht="12" customHeight="1">
      <c r="A68" s="452" t="s">
        <v>1208</v>
      </c>
      <c r="B68" s="437"/>
      <c r="C68" s="437">
        <v>5375</v>
      </c>
      <c r="D68" s="437">
        <v>12500</v>
      </c>
      <c r="E68" s="434">
        <v>38</v>
      </c>
      <c r="F68" s="1298" t="s">
        <v>836</v>
      </c>
      <c r="G68" s="434">
        <v>144.27000000000001</v>
      </c>
      <c r="H68" s="437">
        <v>1050</v>
      </c>
      <c r="I68" s="437">
        <v>88</v>
      </c>
      <c r="J68" s="819" t="s">
        <v>1208</v>
      </c>
    </row>
    <row r="69" spans="1:10" s="37" customFormat="1" ht="12" customHeight="1">
      <c r="A69" s="582" t="s">
        <v>1217</v>
      </c>
      <c r="B69" s="525"/>
      <c r="C69" s="525">
        <v>5375</v>
      </c>
      <c r="D69" s="525">
        <v>12500</v>
      </c>
      <c r="E69" s="522">
        <v>38</v>
      </c>
      <c r="F69" s="1299" t="s">
        <v>836</v>
      </c>
      <c r="G69" s="522">
        <v>183.04</v>
      </c>
      <c r="H69" s="525">
        <v>980</v>
      </c>
      <c r="I69" s="525">
        <v>82</v>
      </c>
      <c r="J69" s="584" t="s">
        <v>1217</v>
      </c>
    </row>
    <row r="70" spans="1:10" s="37" customFormat="1" ht="12" customHeight="1">
      <c r="A70" s="452" t="s">
        <v>1218</v>
      </c>
      <c r="B70" s="437"/>
      <c r="C70" s="437">
        <v>5375</v>
      </c>
      <c r="D70" s="437">
        <v>12500</v>
      </c>
      <c r="E70" s="434">
        <v>38</v>
      </c>
      <c r="F70" s="1298" t="s">
        <v>836</v>
      </c>
      <c r="G70" s="434">
        <v>178.39</v>
      </c>
      <c r="H70" s="437">
        <v>1050</v>
      </c>
      <c r="I70" s="437">
        <v>95</v>
      </c>
      <c r="J70" s="819" t="s">
        <v>1218</v>
      </c>
    </row>
    <row r="71" spans="1:10" s="37" customFormat="1" ht="12" customHeight="1">
      <c r="A71" s="582" t="s">
        <v>1209</v>
      </c>
      <c r="B71" s="525"/>
      <c r="C71" s="525">
        <v>5375</v>
      </c>
      <c r="D71" s="525">
        <v>12500</v>
      </c>
      <c r="E71" s="522">
        <v>38</v>
      </c>
      <c r="F71" s="1299" t="s">
        <v>836</v>
      </c>
      <c r="G71" s="1484">
        <v>163.03</v>
      </c>
      <c r="H71" s="525">
        <v>1050</v>
      </c>
      <c r="I71" s="525">
        <v>95</v>
      </c>
      <c r="J71" s="584" t="s">
        <v>1209</v>
      </c>
    </row>
    <row r="72" spans="1:10" s="37" customFormat="1" ht="11.25" customHeight="1">
      <c r="A72" s="452" t="s">
        <v>1211</v>
      </c>
      <c r="B72" s="437"/>
      <c r="C72" s="437">
        <v>5375</v>
      </c>
      <c r="D72" s="437">
        <v>12500</v>
      </c>
      <c r="E72" s="434">
        <v>38</v>
      </c>
      <c r="F72" s="1298" t="s">
        <v>836</v>
      </c>
      <c r="G72" s="1505">
        <v>160.30000000000001</v>
      </c>
      <c r="H72" s="437">
        <v>1100</v>
      </c>
      <c r="I72" s="437">
        <v>100</v>
      </c>
      <c r="J72" s="819" t="s">
        <v>1211</v>
      </c>
    </row>
    <row r="73" spans="1:10" s="37" customFormat="1" ht="11.25" customHeight="1">
      <c r="A73" s="582" t="s">
        <v>1212</v>
      </c>
      <c r="B73" s="525"/>
      <c r="C73" s="525">
        <v>5375</v>
      </c>
      <c r="D73" s="525">
        <v>12500</v>
      </c>
      <c r="E73" s="522">
        <v>38</v>
      </c>
      <c r="F73" s="1299" t="s">
        <v>836</v>
      </c>
      <c r="G73" s="1484">
        <v>175.6</v>
      </c>
      <c r="H73" s="525">
        <v>980</v>
      </c>
      <c r="I73" s="525">
        <v>90</v>
      </c>
      <c r="J73" s="584" t="s">
        <v>1212</v>
      </c>
    </row>
    <row r="74" spans="1:10" s="37" customFormat="1" ht="11.25" customHeight="1">
      <c r="A74" s="452" t="s">
        <v>1206</v>
      </c>
      <c r="B74" s="437"/>
      <c r="C74" s="437">
        <v>5375</v>
      </c>
      <c r="D74" s="437">
        <v>12500</v>
      </c>
      <c r="E74" s="434">
        <v>38</v>
      </c>
      <c r="F74" s="1298" t="s">
        <v>836</v>
      </c>
      <c r="G74" s="1505">
        <v>168.3</v>
      </c>
      <c r="H74" s="437">
        <v>920</v>
      </c>
      <c r="I74" s="437">
        <v>75</v>
      </c>
      <c r="J74" s="819" t="s">
        <v>1206</v>
      </c>
    </row>
    <row r="75" spans="1:10" s="37" customFormat="1" ht="12.75" customHeight="1">
      <c r="A75" s="582" t="s">
        <v>1213</v>
      </c>
      <c r="B75" s="525"/>
      <c r="C75" s="525">
        <v>5375</v>
      </c>
      <c r="D75" s="525">
        <v>12500</v>
      </c>
      <c r="E75" s="522">
        <v>39</v>
      </c>
      <c r="F75" s="1299" t="s">
        <v>836</v>
      </c>
      <c r="G75" s="1484">
        <v>178.82</v>
      </c>
      <c r="H75" s="525">
        <v>910</v>
      </c>
      <c r="I75" s="525">
        <v>72</v>
      </c>
      <c r="J75" s="584" t="s">
        <v>1213</v>
      </c>
    </row>
    <row r="76" spans="1:10" s="37" customFormat="1" ht="12.75" customHeight="1">
      <c r="A76" s="452" t="s">
        <v>1214</v>
      </c>
      <c r="B76" s="437"/>
      <c r="C76" s="437">
        <v>5375</v>
      </c>
      <c r="D76" s="437">
        <v>12500</v>
      </c>
      <c r="E76" s="434">
        <v>40</v>
      </c>
      <c r="F76" s="1298" t="s">
        <v>836</v>
      </c>
      <c r="G76" s="1505">
        <v>156.76</v>
      </c>
      <c r="H76" s="437">
        <v>900</v>
      </c>
      <c r="I76" s="437">
        <v>70</v>
      </c>
      <c r="J76" s="819" t="s">
        <v>1214</v>
      </c>
    </row>
    <row r="77" spans="1:10" s="37" customFormat="1" ht="12.75" customHeight="1" thickBot="1">
      <c r="A77" s="1506" t="s">
        <v>1207</v>
      </c>
      <c r="B77" s="1507"/>
      <c r="C77" s="1507">
        <v>5375</v>
      </c>
      <c r="D77" s="1507">
        <v>12500</v>
      </c>
      <c r="E77" s="1508">
        <v>40</v>
      </c>
      <c r="F77" s="1509" t="s">
        <v>836</v>
      </c>
      <c r="G77" s="1515">
        <v>121</v>
      </c>
      <c r="H77" s="1507">
        <v>890</v>
      </c>
      <c r="I77" s="1507">
        <v>67</v>
      </c>
      <c r="J77" s="1510" t="s">
        <v>1207</v>
      </c>
    </row>
    <row r="78" spans="1:10" s="55" customFormat="1" ht="10.5" customHeight="1">
      <c r="A78" s="79" t="s">
        <v>775</v>
      </c>
      <c r="B78" s="1776" t="s">
        <v>774</v>
      </c>
      <c r="C78" s="1776"/>
      <c r="D78" s="1776"/>
      <c r="E78" s="268"/>
      <c r="G78" s="1776" t="s">
        <v>2987</v>
      </c>
      <c r="H78" s="1776"/>
      <c r="I78" s="1776"/>
      <c r="J78" s="1776"/>
    </row>
    <row r="79" spans="1:10" s="55" customFormat="1" ht="8.25" customHeight="1">
      <c r="A79" s="63"/>
      <c r="B79" s="1776" t="s">
        <v>2990</v>
      </c>
      <c r="C79" s="1776"/>
      <c r="D79" s="1776"/>
      <c r="E79" s="74"/>
      <c r="G79" s="1776" t="s">
        <v>2988</v>
      </c>
      <c r="H79" s="1776"/>
      <c r="I79" s="1776"/>
      <c r="J79" s="1776"/>
    </row>
    <row r="80" spans="1:10" s="55" customFormat="1" ht="8.25" customHeight="1">
      <c r="B80" s="269" t="s">
        <v>771</v>
      </c>
      <c r="C80" s="238" t="s">
        <v>772</v>
      </c>
      <c r="D80" s="238"/>
      <c r="E80" s="74"/>
      <c r="G80" s="1776" t="s">
        <v>2989</v>
      </c>
      <c r="H80" s="1776"/>
      <c r="I80" s="1776"/>
      <c r="J80" s="1776"/>
    </row>
    <row r="81" spans="2:3" s="55" customFormat="1" ht="8.25">
      <c r="B81" s="270"/>
      <c r="C81" s="64"/>
    </row>
    <row r="82" spans="2:3" ht="9.75" customHeight="1"/>
  </sheetData>
  <mergeCells count="19">
    <mergeCell ref="G80:J80"/>
    <mergeCell ref="C4:C6"/>
    <mergeCell ref="I4:I6"/>
    <mergeCell ref="H4:H6"/>
    <mergeCell ref="J3:J6"/>
    <mergeCell ref="B78:D78"/>
    <mergeCell ref="G78:J78"/>
    <mergeCell ref="B79:D79"/>
    <mergeCell ref="G79:J79"/>
    <mergeCell ref="G1:H1"/>
    <mergeCell ref="A1:F1"/>
    <mergeCell ref="D4:D6"/>
    <mergeCell ref="E4:E6"/>
    <mergeCell ref="F4:F6"/>
    <mergeCell ref="C3:D3"/>
    <mergeCell ref="E3:F3"/>
    <mergeCell ref="G3:G6"/>
    <mergeCell ref="H3:I3"/>
    <mergeCell ref="A3:B6"/>
  </mergeCells>
  <phoneticPr fontId="0" type="noConversion"/>
  <pageMargins left="0.62992125984252001" right="0.511811023622047" top="0.511811023622047" bottom="0.511811023622047" header="0" footer="0.39370078740157499"/>
  <pageSetup paperSize="512" firstPageNumber="44" orientation="portrait" useFirstPageNumber="1" r:id="rId1"/>
  <headerFooter alignWithMargins="0">
    <oddFooter>&amp;C&amp;"Times New Roman,Regular"&amp;8&amp;P</oddFooter>
  </headerFooter>
  <ignoredErrors>
    <ignoredError sqref="F26 H26" 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>
  <dimension ref="A1:AA81"/>
  <sheetViews>
    <sheetView zoomScaleNormal="100" workbookViewId="0">
      <pane xSplit="1" ySplit="4" topLeftCell="B41" activePane="bottomRight" state="frozen"/>
      <selection pane="topRight" activeCell="B1" sqref="B1"/>
      <selection pane="bottomLeft" activeCell="A5" sqref="A5"/>
      <selection pane="bottomRight" activeCell="B57" sqref="B57"/>
    </sheetView>
  </sheetViews>
  <sheetFormatPr defaultColWidth="9.140625" defaultRowHeight="12.75"/>
  <cols>
    <col min="1" max="1" width="8.42578125" style="2" customWidth="1"/>
    <col min="2" max="2" width="7.7109375" style="2" customWidth="1"/>
    <col min="3" max="3" width="6.7109375" style="2" customWidth="1"/>
    <col min="4" max="4" width="6.42578125" style="2" customWidth="1"/>
    <col min="5" max="5" width="6.7109375" style="2" customWidth="1"/>
    <col min="6" max="6" width="7.28515625" style="2" customWidth="1"/>
    <col min="7" max="7" width="7" style="2" customWidth="1"/>
    <col min="8" max="8" width="7.28515625" style="2" customWidth="1"/>
    <col min="9" max="9" width="6.7109375" style="2" customWidth="1"/>
    <col min="10" max="10" width="8" style="2" customWidth="1"/>
    <col min="11" max="11" width="7.140625" style="2" customWidth="1"/>
    <col min="12" max="12" width="7.7109375" style="2" customWidth="1"/>
    <col min="13" max="13" width="7" style="2" customWidth="1"/>
    <col min="14" max="14" width="6.28515625" style="2" customWidth="1"/>
    <col min="15" max="15" width="6.5703125" style="2" customWidth="1"/>
    <col min="16" max="16" width="7.140625" style="2" customWidth="1"/>
    <col min="17" max="17" width="7.28515625" style="2" customWidth="1"/>
    <col min="18" max="18" width="7.42578125" style="2" customWidth="1"/>
    <col min="19" max="19" width="7.140625" style="2" customWidth="1"/>
    <col min="20" max="20" width="6.5703125" style="2" customWidth="1"/>
    <col min="21" max="21" width="6.85546875" style="2" customWidth="1"/>
    <col min="22" max="22" width="8.5703125" style="2" customWidth="1"/>
    <col min="23" max="23" width="9.140625" style="2"/>
    <col min="24" max="24" width="15.85546875" style="2" bestFit="1" customWidth="1"/>
    <col min="25" max="16384" width="9.140625" style="2"/>
  </cols>
  <sheetData>
    <row r="1" spans="1:24" s="34" customFormat="1" ht="17.25" customHeight="1">
      <c r="A1" s="1972" t="s">
        <v>38</v>
      </c>
      <c r="B1" s="1972"/>
      <c r="C1" s="1972"/>
      <c r="D1" s="1972"/>
      <c r="E1" s="1972"/>
      <c r="F1" s="1972"/>
      <c r="G1" s="1972"/>
      <c r="H1" s="1972"/>
      <c r="I1" s="1972"/>
      <c r="J1" s="1972"/>
      <c r="K1" s="1972"/>
      <c r="L1" s="1999" t="s">
        <v>889</v>
      </c>
      <c r="M1" s="1999"/>
      <c r="N1" s="1999"/>
      <c r="O1" s="1999"/>
      <c r="P1" s="1999"/>
      <c r="Q1" s="1999"/>
      <c r="R1" s="1999"/>
      <c r="S1" s="1999"/>
      <c r="T1" s="1999"/>
      <c r="U1" s="1973" t="s">
        <v>2446</v>
      </c>
      <c r="V1" s="1973"/>
      <c r="W1" s="81"/>
    </row>
    <row r="2" spans="1:24" s="31" customFormat="1" ht="12.75" customHeight="1">
      <c r="A2" s="15"/>
      <c r="B2" s="15"/>
      <c r="C2" s="15"/>
      <c r="D2" s="15"/>
      <c r="E2" s="15"/>
      <c r="F2" s="15"/>
      <c r="G2" s="15"/>
      <c r="I2" s="15"/>
      <c r="L2" s="15"/>
      <c r="M2" s="15"/>
      <c r="N2" s="15"/>
      <c r="O2" s="15"/>
      <c r="P2" s="15"/>
      <c r="Q2" s="15"/>
      <c r="R2" s="15"/>
      <c r="T2" s="144"/>
      <c r="U2" s="1990" t="s">
        <v>816</v>
      </c>
      <c r="V2" s="1990"/>
      <c r="W2" s="144"/>
    </row>
    <row r="3" spans="1:24" s="138" customFormat="1" ht="71.25" customHeight="1">
      <c r="A3" s="1975" t="s">
        <v>1132</v>
      </c>
      <c r="B3" s="29" t="s">
        <v>778</v>
      </c>
      <c r="C3" s="29" t="s">
        <v>1155</v>
      </c>
      <c r="D3" s="29" t="s">
        <v>782</v>
      </c>
      <c r="E3" s="29" t="s">
        <v>779</v>
      </c>
      <c r="F3" s="29" t="s">
        <v>414</v>
      </c>
      <c r="G3" s="29" t="s">
        <v>780</v>
      </c>
      <c r="H3" s="29" t="s">
        <v>794</v>
      </c>
      <c r="I3" s="29" t="s">
        <v>781</v>
      </c>
      <c r="J3" s="29" t="s">
        <v>783</v>
      </c>
      <c r="K3" s="29" t="s">
        <v>784</v>
      </c>
      <c r="L3" s="29" t="s">
        <v>785</v>
      </c>
      <c r="M3" s="29" t="s">
        <v>788</v>
      </c>
      <c r="N3" s="29" t="s">
        <v>786</v>
      </c>
      <c r="O3" s="29" t="s">
        <v>789</v>
      </c>
      <c r="P3" s="29" t="s">
        <v>787</v>
      </c>
      <c r="Q3" s="29" t="s">
        <v>1366</v>
      </c>
      <c r="R3" s="29" t="s">
        <v>776</v>
      </c>
      <c r="S3" s="29" t="s">
        <v>1367</v>
      </c>
      <c r="T3" s="29" t="s">
        <v>777</v>
      </c>
      <c r="U3" s="142" t="s">
        <v>1368</v>
      </c>
      <c r="V3" s="1956" t="s">
        <v>1132</v>
      </c>
      <c r="W3" s="145"/>
      <c r="X3" s="145"/>
    </row>
    <row r="4" spans="1:24" s="149" customFormat="1">
      <c r="A4" s="1977"/>
      <c r="B4" s="146">
        <v>1</v>
      </c>
      <c r="C4" s="146">
        <v>2</v>
      </c>
      <c r="D4" s="146">
        <v>3</v>
      </c>
      <c r="E4" s="146">
        <v>4</v>
      </c>
      <c r="F4" s="146">
        <v>5</v>
      </c>
      <c r="G4" s="146">
        <v>6</v>
      </c>
      <c r="H4" s="146">
        <v>7</v>
      </c>
      <c r="I4" s="146">
        <v>8</v>
      </c>
      <c r="J4" s="146">
        <v>9</v>
      </c>
      <c r="K4" s="146">
        <v>10</v>
      </c>
      <c r="L4" s="146">
        <v>11</v>
      </c>
      <c r="M4" s="146">
        <v>12</v>
      </c>
      <c r="N4" s="146">
        <v>13</v>
      </c>
      <c r="O4" s="146">
        <v>14</v>
      </c>
      <c r="P4" s="146">
        <v>15</v>
      </c>
      <c r="Q4" s="146">
        <v>16</v>
      </c>
      <c r="R4" s="146">
        <v>17</v>
      </c>
      <c r="S4" s="146">
        <v>18</v>
      </c>
      <c r="T4" s="146">
        <v>19</v>
      </c>
      <c r="U4" s="146">
        <v>20</v>
      </c>
      <c r="V4" s="1950"/>
      <c r="W4" s="147"/>
      <c r="X4" s="148"/>
    </row>
    <row r="5" spans="1:24" ht="9.75" customHeight="1">
      <c r="A5" s="23" t="s">
        <v>1197</v>
      </c>
      <c r="B5" s="908">
        <v>35046</v>
      </c>
      <c r="C5" s="908">
        <v>9642</v>
      </c>
      <c r="D5" s="908">
        <v>1800</v>
      </c>
      <c r="E5" s="908">
        <v>27061</v>
      </c>
      <c r="F5" s="908">
        <v>2554</v>
      </c>
      <c r="G5" s="908">
        <v>12169</v>
      </c>
      <c r="H5" s="908">
        <v>22037</v>
      </c>
      <c r="I5" s="908">
        <v>1033</v>
      </c>
      <c r="J5" s="908">
        <v>15584</v>
      </c>
      <c r="K5" s="908">
        <v>2759</v>
      </c>
      <c r="L5" s="908">
        <v>16295</v>
      </c>
      <c r="M5" s="908">
        <v>4419</v>
      </c>
      <c r="N5" s="908">
        <v>3610</v>
      </c>
      <c r="O5" s="908">
        <v>3942</v>
      </c>
      <c r="P5" s="908">
        <v>15381</v>
      </c>
      <c r="Q5" s="908">
        <f>SUM(B5:P5)</f>
        <v>173332</v>
      </c>
      <c r="R5" s="908" t="s">
        <v>1013</v>
      </c>
      <c r="S5" s="908">
        <v>180701</v>
      </c>
      <c r="T5" s="908">
        <v>5846</v>
      </c>
      <c r="U5" s="908">
        <f>S5+T5</f>
        <v>186547</v>
      </c>
      <c r="V5" s="62" t="s">
        <v>1197</v>
      </c>
    </row>
    <row r="6" spans="1:24" ht="9.75" customHeight="1">
      <c r="A6" s="543"/>
      <c r="B6" s="590">
        <f t="shared" ref="B6:S6" si="0">(B5/$S5)*100</f>
        <v>19.394469316716563</v>
      </c>
      <c r="C6" s="590">
        <f t="shared" si="0"/>
        <v>5.3358863537003112</v>
      </c>
      <c r="D6" s="590">
        <f t="shared" si="0"/>
        <v>0.99612066341636174</v>
      </c>
      <c r="E6" s="590">
        <f t="shared" si="0"/>
        <v>14.975567373727872</v>
      </c>
      <c r="F6" s="590">
        <f t="shared" si="0"/>
        <v>1.4133845413141044</v>
      </c>
      <c r="G6" s="590">
        <f t="shared" si="0"/>
        <v>6.7343290850631705</v>
      </c>
      <c r="H6" s="590">
        <f t="shared" si="0"/>
        <v>12.195283922059092</v>
      </c>
      <c r="I6" s="590">
        <f t="shared" si="0"/>
        <v>0.57166258072727882</v>
      </c>
      <c r="J6" s="590">
        <f t="shared" si="0"/>
        <v>8.6241913437114341</v>
      </c>
      <c r="K6" s="590">
        <f t="shared" si="0"/>
        <v>1.5268316168698568</v>
      </c>
      <c r="L6" s="590">
        <f t="shared" si="0"/>
        <v>9.0176590057608976</v>
      </c>
      <c r="M6" s="590">
        <f t="shared" si="0"/>
        <v>2.4454762286871685</v>
      </c>
      <c r="N6" s="590">
        <f t="shared" si="0"/>
        <v>1.9977753305183703</v>
      </c>
      <c r="O6" s="590">
        <f t="shared" si="0"/>
        <v>2.1815042528818327</v>
      </c>
      <c r="P6" s="590">
        <f t="shared" si="0"/>
        <v>8.5118510688928115</v>
      </c>
      <c r="Q6" s="590">
        <f t="shared" si="0"/>
        <v>95.921992684047126</v>
      </c>
      <c r="R6" s="590">
        <f t="shared" si="0"/>
        <v>4.0774539155843081</v>
      </c>
      <c r="S6" s="590">
        <f t="shared" si="0"/>
        <v>100</v>
      </c>
      <c r="T6" s="589"/>
      <c r="U6" s="589"/>
      <c r="V6" s="544"/>
    </row>
    <row r="7" spans="1:24" ht="9.75" customHeight="1">
      <c r="A7" s="23" t="s">
        <v>1198</v>
      </c>
      <c r="B7" s="908">
        <v>38136</v>
      </c>
      <c r="C7" s="908">
        <v>10874</v>
      </c>
      <c r="D7" s="908">
        <v>1952</v>
      </c>
      <c r="E7" s="908">
        <v>31269</v>
      </c>
      <c r="F7" s="908">
        <v>2643</v>
      </c>
      <c r="G7" s="908">
        <v>13859</v>
      </c>
      <c r="H7" s="908">
        <v>24844</v>
      </c>
      <c r="I7" s="908">
        <v>1156</v>
      </c>
      <c r="J7" s="908">
        <v>16741</v>
      </c>
      <c r="K7" s="908">
        <v>2992</v>
      </c>
      <c r="L7" s="908">
        <v>17629</v>
      </c>
      <c r="M7" s="908">
        <v>4960</v>
      </c>
      <c r="N7" s="908">
        <v>4137</v>
      </c>
      <c r="O7" s="908">
        <v>4371</v>
      </c>
      <c r="P7" s="908">
        <v>17029</v>
      </c>
      <c r="Q7" s="908">
        <f>SUM(B7:P7)</f>
        <v>192592</v>
      </c>
      <c r="R7" s="908">
        <v>7585</v>
      </c>
      <c r="S7" s="908">
        <v>200177</v>
      </c>
      <c r="T7" s="908">
        <v>6497</v>
      </c>
      <c r="U7" s="908">
        <f>S7+T7</f>
        <v>206674</v>
      </c>
      <c r="V7" s="62" t="s">
        <v>1198</v>
      </c>
    </row>
    <row r="8" spans="1:24" ht="9.75" customHeight="1">
      <c r="A8" s="543"/>
      <c r="B8" s="590">
        <f t="shared" ref="B8:S8" si="1">(B7/$S7)*100</f>
        <v>19.051139741328925</v>
      </c>
      <c r="C8" s="590">
        <f t="shared" si="1"/>
        <v>5.4321925096289778</v>
      </c>
      <c r="D8" s="590">
        <f t="shared" si="1"/>
        <v>0.97513700375167978</v>
      </c>
      <c r="E8" s="590">
        <f t="shared" si="1"/>
        <v>15.620675702003728</v>
      </c>
      <c r="F8" s="590">
        <f t="shared" si="1"/>
        <v>1.3203315066166443</v>
      </c>
      <c r="G8" s="590">
        <f t="shared" si="1"/>
        <v>6.9233728150586735</v>
      </c>
      <c r="H8" s="590">
        <f t="shared" si="1"/>
        <v>12.411016250618202</v>
      </c>
      <c r="I8" s="590">
        <f t="shared" si="1"/>
        <v>0.57748892230376114</v>
      </c>
      <c r="J8" s="590">
        <f t="shared" si="1"/>
        <v>8.3630986576879458</v>
      </c>
      <c r="K8" s="590">
        <f t="shared" si="1"/>
        <v>1.4946772106685582</v>
      </c>
      <c r="L8" s="590">
        <f t="shared" si="1"/>
        <v>8.8067060651323583</v>
      </c>
      <c r="M8" s="590">
        <f t="shared" si="1"/>
        <v>2.4778071406804978</v>
      </c>
      <c r="N8" s="590">
        <f t="shared" si="1"/>
        <v>2.0666709961683911</v>
      </c>
      <c r="O8" s="590">
        <f t="shared" si="1"/>
        <v>2.1835675427246888</v>
      </c>
      <c r="P8" s="590">
        <f t="shared" si="1"/>
        <v>8.50697133037262</v>
      </c>
      <c r="Q8" s="590">
        <f t="shared" si="1"/>
        <v>96.210853394745655</v>
      </c>
      <c r="R8" s="590">
        <f t="shared" si="1"/>
        <v>3.7891466052543494</v>
      </c>
      <c r="S8" s="590">
        <f t="shared" si="1"/>
        <v>100</v>
      </c>
      <c r="T8" s="589"/>
      <c r="U8" s="589"/>
      <c r="V8" s="544"/>
    </row>
    <row r="9" spans="1:24" ht="9.75" customHeight="1">
      <c r="A9" s="23" t="s">
        <v>1199</v>
      </c>
      <c r="B9" s="908">
        <v>42990</v>
      </c>
      <c r="C9" s="908">
        <v>12485</v>
      </c>
      <c r="D9" s="908">
        <v>2066</v>
      </c>
      <c r="E9" s="908">
        <v>32783</v>
      </c>
      <c r="F9" s="908">
        <v>2838</v>
      </c>
      <c r="G9" s="908">
        <v>15625</v>
      </c>
      <c r="H9" s="908">
        <v>27232</v>
      </c>
      <c r="I9" s="908">
        <v>1317</v>
      </c>
      <c r="J9" s="908">
        <v>18041</v>
      </c>
      <c r="K9" s="908">
        <v>3351</v>
      </c>
      <c r="L9" s="908">
        <v>19584</v>
      </c>
      <c r="M9" s="908">
        <v>5552</v>
      </c>
      <c r="N9" s="908">
        <v>4718</v>
      </c>
      <c r="O9" s="908">
        <v>4842</v>
      </c>
      <c r="P9" s="908">
        <v>18497</v>
      </c>
      <c r="Q9" s="908">
        <f>SUM(B9:P9)</f>
        <v>211921</v>
      </c>
      <c r="R9" s="908">
        <v>7776</v>
      </c>
      <c r="S9" s="908">
        <v>219697</v>
      </c>
      <c r="T9" s="908">
        <v>7553</v>
      </c>
      <c r="U9" s="908">
        <f>S9+T9</f>
        <v>227250</v>
      </c>
      <c r="V9" s="62" t="s">
        <v>1199</v>
      </c>
    </row>
    <row r="10" spans="1:24" ht="9.75" customHeight="1">
      <c r="A10" s="543"/>
      <c r="B10" s="590">
        <f t="shared" ref="B10:S10" si="2">(B9/$S9)*100</f>
        <v>19.567859369950433</v>
      </c>
      <c r="C10" s="590">
        <f t="shared" si="2"/>
        <v>5.6828268023687167</v>
      </c>
      <c r="D10" s="590">
        <f t="shared" si="2"/>
        <v>0.94038607718812728</v>
      </c>
      <c r="E10" s="590">
        <f t="shared" si="2"/>
        <v>14.921915183184112</v>
      </c>
      <c r="F10" s="590">
        <f t="shared" si="2"/>
        <v>1.2917791321683956</v>
      </c>
      <c r="G10" s="590">
        <f t="shared" si="2"/>
        <v>7.1120679845423478</v>
      </c>
      <c r="H10" s="590">
        <f t="shared" si="2"/>
        <v>12.395253462723661</v>
      </c>
      <c r="I10" s="590">
        <f t="shared" si="2"/>
        <v>0.59946198628110536</v>
      </c>
      <c r="J10" s="590">
        <f t="shared" si="2"/>
        <v>8.2117643845842228</v>
      </c>
      <c r="K10" s="590">
        <f t="shared" si="2"/>
        <v>1.5252825482368899</v>
      </c>
      <c r="L10" s="590">
        <f t="shared" si="2"/>
        <v>8.9140953221937487</v>
      </c>
      <c r="M10" s="590">
        <f t="shared" si="2"/>
        <v>2.5271168928114629</v>
      </c>
      <c r="N10" s="590">
        <f t="shared" si="2"/>
        <v>2.1475031520685306</v>
      </c>
      <c r="O10" s="590">
        <f t="shared" si="2"/>
        <v>2.2039445235938588</v>
      </c>
      <c r="P10" s="590">
        <f t="shared" si="2"/>
        <v>8.4193229766451072</v>
      </c>
      <c r="Q10" s="590">
        <f t="shared" si="2"/>
        <v>96.460579798540707</v>
      </c>
      <c r="R10" s="590">
        <f t="shared" si="2"/>
        <v>3.5394202014592828</v>
      </c>
      <c r="S10" s="590">
        <f t="shared" si="2"/>
        <v>100</v>
      </c>
      <c r="T10" s="589"/>
      <c r="U10" s="589"/>
      <c r="V10" s="544"/>
    </row>
    <row r="11" spans="1:24" ht="9.75" customHeight="1">
      <c r="A11" s="7" t="s">
        <v>1200</v>
      </c>
      <c r="B11" s="908">
        <v>44692</v>
      </c>
      <c r="C11" s="908">
        <v>13674</v>
      </c>
      <c r="D11" s="908">
        <v>2311</v>
      </c>
      <c r="E11" s="908">
        <v>34837</v>
      </c>
      <c r="F11" s="908">
        <v>3072</v>
      </c>
      <c r="G11" s="908">
        <v>17622</v>
      </c>
      <c r="H11" s="908">
        <v>29204</v>
      </c>
      <c r="I11" s="908">
        <v>1463</v>
      </c>
      <c r="J11" s="908">
        <v>19743</v>
      </c>
      <c r="K11" s="908">
        <v>3648</v>
      </c>
      <c r="L11" s="908">
        <v>21139</v>
      </c>
      <c r="M11" s="908">
        <v>6234</v>
      </c>
      <c r="N11" s="908">
        <v>5386</v>
      </c>
      <c r="O11" s="908">
        <v>5376</v>
      </c>
      <c r="P11" s="908">
        <v>20360</v>
      </c>
      <c r="Q11" s="908">
        <f>SUM(B11:P11)</f>
        <v>228761</v>
      </c>
      <c r="R11" s="908">
        <v>8325</v>
      </c>
      <c r="S11" s="908">
        <v>237086</v>
      </c>
      <c r="T11" s="908">
        <v>8713</v>
      </c>
      <c r="U11" s="908">
        <f>S11+T11</f>
        <v>245799</v>
      </c>
      <c r="V11" s="53" t="s">
        <v>1200</v>
      </c>
    </row>
    <row r="12" spans="1:24" ht="9.75" customHeight="1">
      <c r="A12" s="543"/>
      <c r="B12" s="590">
        <f t="shared" ref="B12:S12" si="3">(B11/$S11)*100</f>
        <v>18.850543684570155</v>
      </c>
      <c r="C12" s="590">
        <f t="shared" si="3"/>
        <v>5.7675273951224453</v>
      </c>
      <c r="D12" s="590">
        <f t="shared" si="3"/>
        <v>0.97475177783589073</v>
      </c>
      <c r="E12" s="590">
        <f t="shared" si="3"/>
        <v>14.693824181942416</v>
      </c>
      <c r="F12" s="590">
        <f t="shared" si="3"/>
        <v>1.295732350286394</v>
      </c>
      <c r="G12" s="590">
        <f t="shared" si="3"/>
        <v>7.4327459234201934</v>
      </c>
      <c r="H12" s="590">
        <f t="shared" si="3"/>
        <v>12.317893085209587</v>
      </c>
      <c r="I12" s="590">
        <f t="shared" si="3"/>
        <v>0.61707566030891747</v>
      </c>
      <c r="J12" s="590">
        <f t="shared" si="3"/>
        <v>8.3273580051120693</v>
      </c>
      <c r="K12" s="590">
        <f t="shared" si="3"/>
        <v>1.5386821659650929</v>
      </c>
      <c r="L12" s="590">
        <f t="shared" si="3"/>
        <v>8.9161738778333604</v>
      </c>
      <c r="M12" s="590">
        <f t="shared" si="3"/>
        <v>2.6294256092725847</v>
      </c>
      <c r="N12" s="590">
        <f t="shared" si="3"/>
        <v>2.2717494917456111</v>
      </c>
      <c r="O12" s="590">
        <f t="shared" si="3"/>
        <v>2.2675316130011893</v>
      </c>
      <c r="P12" s="590">
        <f t="shared" si="3"/>
        <v>8.587601123642898</v>
      </c>
      <c r="Q12" s="590">
        <f t="shared" si="3"/>
        <v>96.488615945268805</v>
      </c>
      <c r="R12" s="590">
        <f t="shared" si="3"/>
        <v>3.5113840547311947</v>
      </c>
      <c r="S12" s="590">
        <f t="shared" si="3"/>
        <v>100</v>
      </c>
      <c r="T12" s="589"/>
      <c r="U12" s="589"/>
      <c r="V12" s="544"/>
    </row>
    <row r="13" spans="1:24" ht="9.75" customHeight="1">
      <c r="A13" s="23" t="s">
        <v>1201</v>
      </c>
      <c r="B13" s="908">
        <v>45631</v>
      </c>
      <c r="C13" s="908">
        <v>13406</v>
      </c>
      <c r="D13" s="908">
        <v>2640</v>
      </c>
      <c r="E13" s="908">
        <v>38234</v>
      </c>
      <c r="F13" s="908">
        <v>3346</v>
      </c>
      <c r="G13" s="908">
        <v>19334</v>
      </c>
      <c r="H13" s="908">
        <v>32479</v>
      </c>
      <c r="I13" s="908">
        <v>1590</v>
      </c>
      <c r="J13" s="908">
        <v>22129</v>
      </c>
      <c r="K13" s="908">
        <v>3911</v>
      </c>
      <c r="L13" s="908">
        <v>22365</v>
      </c>
      <c r="M13" s="908">
        <v>6695</v>
      </c>
      <c r="N13" s="908">
        <v>5852</v>
      </c>
      <c r="O13" s="908">
        <v>5722</v>
      </c>
      <c r="P13" s="908">
        <v>21665</v>
      </c>
      <c r="Q13" s="908">
        <f>SUM(B13:P13)</f>
        <v>244999</v>
      </c>
      <c r="R13" s="908">
        <v>8547</v>
      </c>
      <c r="S13" s="908">
        <v>253546</v>
      </c>
      <c r="T13" s="908">
        <v>8841</v>
      </c>
      <c r="U13" s="908">
        <f>S13+T13</f>
        <v>262387</v>
      </c>
      <c r="V13" s="62" t="s">
        <v>1201</v>
      </c>
    </row>
    <row r="14" spans="1:24" ht="9.75" customHeight="1">
      <c r="A14" s="543"/>
      <c r="B14" s="590">
        <f t="shared" ref="B14:S14" si="4">(B13/$S13)*100</f>
        <v>17.997128726148311</v>
      </c>
      <c r="C14" s="590">
        <f t="shared" si="4"/>
        <v>5.2874034691929666</v>
      </c>
      <c r="D14" s="590">
        <f t="shared" si="4"/>
        <v>1.0412311769856357</v>
      </c>
      <c r="E14" s="590">
        <f t="shared" si="4"/>
        <v>15.079709401844241</v>
      </c>
      <c r="F14" s="590">
        <f t="shared" si="4"/>
        <v>1.3196816356795216</v>
      </c>
      <c r="G14" s="590">
        <f t="shared" si="4"/>
        <v>7.6254407484243485</v>
      </c>
      <c r="H14" s="590">
        <f t="shared" si="4"/>
        <v>12.809904317165326</v>
      </c>
      <c r="I14" s="590">
        <f t="shared" si="4"/>
        <v>0.6271051406845306</v>
      </c>
      <c r="J14" s="590">
        <f t="shared" si="4"/>
        <v>8.7278048164830047</v>
      </c>
      <c r="K14" s="590">
        <f t="shared" si="4"/>
        <v>1.542520883784402</v>
      </c>
      <c r="L14" s="590">
        <f t="shared" si="4"/>
        <v>8.8208845732135384</v>
      </c>
      <c r="M14" s="590">
        <f t="shared" si="4"/>
        <v>2.6405464886056178</v>
      </c>
      <c r="N14" s="590">
        <f t="shared" si="4"/>
        <v>2.308062442318159</v>
      </c>
      <c r="O14" s="590">
        <f t="shared" si="4"/>
        <v>2.2567896949665935</v>
      </c>
      <c r="P14" s="590">
        <f t="shared" si="4"/>
        <v>8.5448005490128036</v>
      </c>
      <c r="Q14" s="590">
        <f t="shared" si="4"/>
        <v>96.629014064508993</v>
      </c>
      <c r="R14" s="590">
        <f t="shared" si="4"/>
        <v>3.3709859354909959</v>
      </c>
      <c r="S14" s="590">
        <f t="shared" si="4"/>
        <v>100</v>
      </c>
      <c r="T14" s="589"/>
      <c r="U14" s="589"/>
      <c r="V14" s="544"/>
    </row>
    <row r="15" spans="1:24" ht="9.75" customHeight="1">
      <c r="A15" s="23" t="s">
        <v>1202</v>
      </c>
      <c r="B15" s="908">
        <v>46003</v>
      </c>
      <c r="C15" s="908">
        <v>13897</v>
      </c>
      <c r="D15" s="908">
        <v>2997</v>
      </c>
      <c r="E15" s="908">
        <v>41805</v>
      </c>
      <c r="F15" s="908">
        <v>3640</v>
      </c>
      <c r="G15" s="908">
        <v>21159</v>
      </c>
      <c r="H15" s="908">
        <v>35312</v>
      </c>
      <c r="I15" s="908">
        <v>1740</v>
      </c>
      <c r="J15" s="908">
        <v>25524</v>
      </c>
      <c r="K15" s="908">
        <v>4207</v>
      </c>
      <c r="L15" s="908">
        <v>23995</v>
      </c>
      <c r="M15" s="908">
        <v>7117</v>
      </c>
      <c r="N15" s="908">
        <v>6352</v>
      </c>
      <c r="O15" s="908">
        <v>6079</v>
      </c>
      <c r="P15" s="908">
        <v>23698</v>
      </c>
      <c r="Q15" s="908">
        <f>SUM(B15:P15)</f>
        <v>263525</v>
      </c>
      <c r="R15" s="908">
        <v>9676</v>
      </c>
      <c r="S15" s="908">
        <v>273201</v>
      </c>
      <c r="T15" s="908">
        <v>12543</v>
      </c>
      <c r="U15" s="908">
        <f>S15+T15</f>
        <v>285744</v>
      </c>
      <c r="V15" s="62" t="s">
        <v>1202</v>
      </c>
    </row>
    <row r="16" spans="1:24" ht="9.75" customHeight="1">
      <c r="A16" s="543"/>
      <c r="B16" s="590">
        <f t="shared" ref="B16:S16" si="5">(B15/$S15)*100</f>
        <v>16.838518160621664</v>
      </c>
      <c r="C16" s="590">
        <f t="shared" si="5"/>
        <v>5.0867310148937959</v>
      </c>
      <c r="D16" s="590">
        <f t="shared" si="5"/>
        <v>1.0969945205178604</v>
      </c>
      <c r="E16" s="590">
        <f t="shared" si="5"/>
        <v>15.301920563980367</v>
      </c>
      <c r="F16" s="590">
        <f t="shared" si="5"/>
        <v>1.3323523705989362</v>
      </c>
      <c r="G16" s="590">
        <f t="shared" si="5"/>
        <v>7.7448472004128828</v>
      </c>
      <c r="H16" s="590">
        <f t="shared" si="5"/>
        <v>12.925282118293858</v>
      </c>
      <c r="I16" s="590">
        <f t="shared" si="5"/>
        <v>0.63689371561597508</v>
      </c>
      <c r="J16" s="590">
        <f t="shared" si="5"/>
        <v>9.3425719525184743</v>
      </c>
      <c r="K16" s="590">
        <f t="shared" si="5"/>
        <v>1.5398918744806938</v>
      </c>
      <c r="L16" s="590">
        <f t="shared" si="5"/>
        <v>8.7829107506927127</v>
      </c>
      <c r="M16" s="590">
        <f t="shared" si="5"/>
        <v>2.6050417092177551</v>
      </c>
      <c r="N16" s="590">
        <f t="shared" si="5"/>
        <v>2.3250280928693527</v>
      </c>
      <c r="O16" s="590">
        <f t="shared" si="5"/>
        <v>2.2251016650744324</v>
      </c>
      <c r="P16" s="590">
        <f t="shared" si="5"/>
        <v>8.6741995819927453</v>
      </c>
      <c r="Q16" s="590">
        <f t="shared" si="5"/>
        <v>96.458285291781507</v>
      </c>
      <c r="R16" s="590">
        <f t="shared" si="5"/>
        <v>3.5417147082184917</v>
      </c>
      <c r="S16" s="590">
        <f t="shared" si="5"/>
        <v>100</v>
      </c>
      <c r="T16" s="589"/>
      <c r="U16" s="589"/>
      <c r="V16" s="544"/>
    </row>
    <row r="17" spans="1:22" ht="9.75" customHeight="1">
      <c r="A17" s="23" t="s">
        <v>1203</v>
      </c>
      <c r="B17" s="908">
        <v>48798</v>
      </c>
      <c r="C17" s="908">
        <v>14259</v>
      </c>
      <c r="D17" s="908">
        <v>3309</v>
      </c>
      <c r="E17" s="908">
        <v>45813</v>
      </c>
      <c r="F17" s="908">
        <v>3989</v>
      </c>
      <c r="G17" s="908">
        <v>23016</v>
      </c>
      <c r="H17" s="908">
        <v>39103</v>
      </c>
      <c r="I17" s="908">
        <v>1944</v>
      </c>
      <c r="J17" s="908">
        <v>31112</v>
      </c>
      <c r="K17" s="908">
        <v>4718</v>
      </c>
      <c r="L17" s="908">
        <v>25678</v>
      </c>
      <c r="M17" s="908">
        <v>7783</v>
      </c>
      <c r="N17" s="908">
        <v>7064</v>
      </c>
      <c r="O17" s="908">
        <v>6602</v>
      </c>
      <c r="P17" s="908">
        <v>26685</v>
      </c>
      <c r="Q17" s="908">
        <f>SUM(B17:P17)</f>
        <v>289873</v>
      </c>
      <c r="R17" s="908">
        <v>10707</v>
      </c>
      <c r="S17" s="908">
        <v>300580</v>
      </c>
      <c r="T17" s="908">
        <v>16583</v>
      </c>
      <c r="U17" s="908">
        <f>S17+T17</f>
        <v>317163</v>
      </c>
      <c r="V17" s="62" t="s">
        <v>1203</v>
      </c>
    </row>
    <row r="18" spans="1:22" ht="9.75" customHeight="1">
      <c r="A18" s="543"/>
      <c r="B18" s="590">
        <f t="shared" ref="B18:S18" si="6">(B17/$S17)*100</f>
        <v>16.234613081376008</v>
      </c>
      <c r="C18" s="590">
        <f t="shared" si="6"/>
        <v>4.7438285980437822</v>
      </c>
      <c r="D18" s="590">
        <f t="shared" si="6"/>
        <v>1.1008716481469161</v>
      </c>
      <c r="E18" s="590">
        <f t="shared" si="6"/>
        <v>15.241533036130148</v>
      </c>
      <c r="F18" s="590">
        <f t="shared" si="6"/>
        <v>1.3271009381861734</v>
      </c>
      <c r="G18" s="590">
        <f t="shared" si="6"/>
        <v>7.657196087564043</v>
      </c>
      <c r="H18" s="590">
        <f t="shared" si="6"/>
        <v>13.009182247654536</v>
      </c>
      <c r="I18" s="590">
        <f t="shared" si="6"/>
        <v>0.64674961740634773</v>
      </c>
      <c r="J18" s="590">
        <f t="shared" si="6"/>
        <v>10.350655399560848</v>
      </c>
      <c r="K18" s="590">
        <f t="shared" si="6"/>
        <v>1.5696320447135537</v>
      </c>
      <c r="L18" s="590">
        <f t="shared" si="6"/>
        <v>8.5428172200412522</v>
      </c>
      <c r="M18" s="590">
        <f t="shared" si="6"/>
        <v>2.5893273005522657</v>
      </c>
      <c r="N18" s="590">
        <f t="shared" si="6"/>
        <v>2.3501230953489922</v>
      </c>
      <c r="O18" s="590">
        <f t="shared" si="6"/>
        <v>2.1964202541752611</v>
      </c>
      <c r="P18" s="590">
        <f t="shared" si="6"/>
        <v>8.8778361833788004</v>
      </c>
      <c r="Q18" s="590">
        <f t="shared" si="6"/>
        <v>96.437886752278928</v>
      </c>
      <c r="R18" s="590">
        <f t="shared" si="6"/>
        <v>3.5621132477210731</v>
      </c>
      <c r="S18" s="590">
        <f t="shared" si="6"/>
        <v>100</v>
      </c>
      <c r="T18" s="589"/>
      <c r="U18" s="589"/>
      <c r="V18" s="544"/>
    </row>
    <row r="19" spans="1:22" ht="9.75" customHeight="1">
      <c r="A19" s="23" t="s">
        <v>1204</v>
      </c>
      <c r="B19" s="908">
        <v>52419</v>
      </c>
      <c r="C19" s="908">
        <v>14783</v>
      </c>
      <c r="D19" s="908">
        <v>3644</v>
      </c>
      <c r="E19" s="908">
        <v>51527</v>
      </c>
      <c r="F19" s="908">
        <v>4425</v>
      </c>
      <c r="G19" s="908">
        <v>25397</v>
      </c>
      <c r="H19" s="908">
        <v>44103</v>
      </c>
      <c r="I19" s="908">
        <v>2202</v>
      </c>
      <c r="J19" s="908">
        <v>34444</v>
      </c>
      <c r="K19" s="908">
        <v>5197</v>
      </c>
      <c r="L19" s="908">
        <v>27601</v>
      </c>
      <c r="M19" s="908">
        <v>8624</v>
      </c>
      <c r="N19" s="908">
        <v>7873</v>
      </c>
      <c r="O19" s="908">
        <v>7197</v>
      </c>
      <c r="P19" s="908">
        <v>30028</v>
      </c>
      <c r="Q19" s="908">
        <f>SUM(B19:P19)</f>
        <v>319464</v>
      </c>
      <c r="R19" s="908">
        <v>13510</v>
      </c>
      <c r="S19" s="908">
        <v>332973</v>
      </c>
      <c r="T19" s="908">
        <v>17553</v>
      </c>
      <c r="U19" s="908">
        <f>S19+T19</f>
        <v>350526</v>
      </c>
      <c r="V19" s="62" t="s">
        <v>1204</v>
      </c>
    </row>
    <row r="20" spans="1:22" ht="9.75" customHeight="1">
      <c r="A20" s="543"/>
      <c r="B20" s="590">
        <f t="shared" ref="B20:S20" si="7">(B19/$S19)*100</f>
        <v>15.742717878026147</v>
      </c>
      <c r="C20" s="590">
        <f t="shared" si="7"/>
        <v>4.439699314959471</v>
      </c>
      <c r="D20" s="590">
        <f t="shared" si="7"/>
        <v>1.0943830280533255</v>
      </c>
      <c r="E20" s="590">
        <f t="shared" si="7"/>
        <v>15.47482828938082</v>
      </c>
      <c r="F20" s="590">
        <f t="shared" si="7"/>
        <v>1.3289365804434594</v>
      </c>
      <c r="G20" s="590">
        <f t="shared" si="7"/>
        <v>7.6273451601180877</v>
      </c>
      <c r="H20" s="590">
        <f t="shared" si="7"/>
        <v>13.245218080745286</v>
      </c>
      <c r="I20" s="590">
        <f t="shared" si="7"/>
        <v>0.66131488138677907</v>
      </c>
      <c r="J20" s="590">
        <f t="shared" si="7"/>
        <v>10.344382277241698</v>
      </c>
      <c r="K20" s="590">
        <f t="shared" si="7"/>
        <v>1.560787210975064</v>
      </c>
      <c r="L20" s="590">
        <f t="shared" si="7"/>
        <v>8.2892606908067616</v>
      </c>
      <c r="M20" s="590">
        <f t="shared" si="7"/>
        <v>2.5899997897727443</v>
      </c>
      <c r="N20" s="590">
        <f t="shared" si="7"/>
        <v>2.3644559769110409</v>
      </c>
      <c r="O20" s="590">
        <f t="shared" si="7"/>
        <v>2.1614365128704129</v>
      </c>
      <c r="P20" s="590">
        <f t="shared" si="7"/>
        <v>9.0181486186567685</v>
      </c>
      <c r="Q20" s="590">
        <f t="shared" si="7"/>
        <v>95.942914290347872</v>
      </c>
      <c r="R20" s="590">
        <f t="shared" si="7"/>
        <v>4.0573860343030814</v>
      </c>
      <c r="S20" s="590">
        <f t="shared" si="7"/>
        <v>100</v>
      </c>
      <c r="T20" s="589"/>
      <c r="U20" s="589"/>
      <c r="V20" s="544"/>
    </row>
    <row r="21" spans="1:22" ht="9.75" customHeight="1">
      <c r="A21" s="7" t="s">
        <v>1205</v>
      </c>
      <c r="B21" s="908">
        <v>56167</v>
      </c>
      <c r="C21" s="908">
        <v>15456</v>
      </c>
      <c r="D21" s="908">
        <v>4041</v>
      </c>
      <c r="E21" s="908">
        <v>58795</v>
      </c>
      <c r="F21" s="908">
        <v>4909</v>
      </c>
      <c r="G21" s="908">
        <v>29061</v>
      </c>
      <c r="H21" s="908">
        <v>50278</v>
      </c>
      <c r="I21" s="908">
        <v>2512</v>
      </c>
      <c r="J21" s="908">
        <v>38289</v>
      </c>
      <c r="K21" s="908">
        <v>5934</v>
      </c>
      <c r="L21" s="908">
        <v>29744</v>
      </c>
      <c r="M21" s="908">
        <v>9638</v>
      </c>
      <c r="N21" s="908">
        <v>8788</v>
      </c>
      <c r="O21" s="908">
        <v>8104</v>
      </c>
      <c r="P21" s="908">
        <v>33876</v>
      </c>
      <c r="Q21" s="908">
        <f>SUM(B21:P21)</f>
        <v>355592</v>
      </c>
      <c r="R21" s="908">
        <v>15113</v>
      </c>
      <c r="S21" s="908">
        <v>370707</v>
      </c>
      <c r="T21" s="908">
        <v>18928</v>
      </c>
      <c r="U21" s="908">
        <f>S21+T21</f>
        <v>389635</v>
      </c>
      <c r="V21" s="53" t="s">
        <v>1205</v>
      </c>
    </row>
    <row r="22" spans="1:22" ht="9.75" customHeight="1">
      <c r="A22" s="543"/>
      <c r="B22" s="590">
        <f t="shared" ref="B22:S22" si="8">(B21/$S21)*100</f>
        <v>15.15131896619163</v>
      </c>
      <c r="C22" s="590">
        <f t="shared" si="8"/>
        <v>4.1693304955126287</v>
      </c>
      <c r="D22" s="590">
        <f t="shared" si="8"/>
        <v>1.0900792269905881</v>
      </c>
      <c r="E22" s="590">
        <f t="shared" si="8"/>
        <v>15.860234632742301</v>
      </c>
      <c r="F22" s="590">
        <f t="shared" si="8"/>
        <v>1.3242264106153918</v>
      </c>
      <c r="G22" s="590">
        <f t="shared" si="8"/>
        <v>7.8393448194935624</v>
      </c>
      <c r="H22" s="590">
        <f t="shared" si="8"/>
        <v>13.56273283212888</v>
      </c>
      <c r="I22" s="590">
        <f t="shared" si="8"/>
        <v>0.67762410744873991</v>
      </c>
      <c r="J22" s="590">
        <f t="shared" si="8"/>
        <v>10.328642297016243</v>
      </c>
      <c r="K22" s="590">
        <f t="shared" si="8"/>
        <v>1.6007251009557415</v>
      </c>
      <c r="L22" s="590">
        <f t="shared" si="8"/>
        <v>8.0235873614471807</v>
      </c>
      <c r="M22" s="590">
        <f t="shared" si="8"/>
        <v>2.5998969536588192</v>
      </c>
      <c r="N22" s="590">
        <f t="shared" si="8"/>
        <v>2.3706053567912124</v>
      </c>
      <c r="O22" s="590">
        <f t="shared" si="8"/>
        <v>2.1860930600177499</v>
      </c>
      <c r="P22" s="590">
        <f t="shared" si="8"/>
        <v>9.1382142770435948</v>
      </c>
      <c r="Q22" s="590">
        <f t="shared" si="8"/>
        <v>95.922655898054259</v>
      </c>
      <c r="R22" s="590">
        <f t="shared" si="8"/>
        <v>4.0768045923060532</v>
      </c>
      <c r="S22" s="590">
        <f t="shared" si="8"/>
        <v>100</v>
      </c>
      <c r="T22" s="589"/>
      <c r="U22" s="589"/>
      <c r="V22" s="544"/>
    </row>
    <row r="23" spans="1:22" ht="9.75" customHeight="1">
      <c r="A23" s="23" t="s">
        <v>1210</v>
      </c>
      <c r="B23" s="908">
        <v>62223</v>
      </c>
      <c r="C23" s="908">
        <v>16317</v>
      </c>
      <c r="D23" s="908">
        <v>4643</v>
      </c>
      <c r="E23" s="908">
        <v>68923</v>
      </c>
      <c r="F23" s="908">
        <v>5392</v>
      </c>
      <c r="G23" s="908">
        <v>32797</v>
      </c>
      <c r="H23" s="908">
        <v>56984</v>
      </c>
      <c r="I23" s="908">
        <v>2853</v>
      </c>
      <c r="J23" s="908">
        <v>43206</v>
      </c>
      <c r="K23" s="908">
        <v>6684</v>
      </c>
      <c r="L23" s="908">
        <v>32157</v>
      </c>
      <c r="M23" s="908">
        <v>11036</v>
      </c>
      <c r="N23" s="908">
        <v>9935</v>
      </c>
      <c r="O23" s="908">
        <v>9022</v>
      </c>
      <c r="P23" s="908">
        <v>38283</v>
      </c>
      <c r="Q23" s="908">
        <f>SUM(B23:P23)</f>
        <v>400455</v>
      </c>
      <c r="R23" s="908">
        <v>15274</v>
      </c>
      <c r="S23" s="908">
        <v>415728</v>
      </c>
      <c r="T23" s="908">
        <v>27208</v>
      </c>
      <c r="U23" s="908">
        <v>442935</v>
      </c>
      <c r="V23" s="62" t="s">
        <v>1210</v>
      </c>
    </row>
    <row r="24" spans="1:22" ht="9.75" customHeight="1">
      <c r="A24" s="543"/>
      <c r="B24" s="590">
        <f t="shared" ref="B24:S24" si="9">(B23/$S23)*100</f>
        <v>14.967238194203903</v>
      </c>
      <c r="C24" s="590">
        <f t="shared" si="9"/>
        <v>3.9249220644267404</v>
      </c>
      <c r="D24" s="590">
        <f t="shared" si="9"/>
        <v>1.116836008159181</v>
      </c>
      <c r="E24" s="590">
        <f t="shared" si="9"/>
        <v>16.578868875803408</v>
      </c>
      <c r="F24" s="590">
        <f t="shared" si="9"/>
        <v>1.2970018858484393</v>
      </c>
      <c r="G24" s="590">
        <f t="shared" si="9"/>
        <v>7.8890524573759766</v>
      </c>
      <c r="H24" s="590">
        <f t="shared" si="9"/>
        <v>13.707039217950198</v>
      </c>
      <c r="I24" s="590">
        <f t="shared" si="9"/>
        <v>0.68626602009005888</v>
      </c>
      <c r="J24" s="590">
        <f t="shared" si="9"/>
        <v>10.392853019281837</v>
      </c>
      <c r="K24" s="590">
        <f t="shared" si="9"/>
        <v>1.6077820113150905</v>
      </c>
      <c r="L24" s="590">
        <f t="shared" si="9"/>
        <v>7.7351056459993073</v>
      </c>
      <c r="M24" s="590">
        <f t="shared" si="9"/>
        <v>2.654620328676442</v>
      </c>
      <c r="N24" s="590">
        <f t="shared" si="9"/>
        <v>2.3897837047300157</v>
      </c>
      <c r="O24" s="590">
        <f t="shared" si="9"/>
        <v>2.1701689566254858</v>
      </c>
      <c r="P24" s="590">
        <f t="shared" si="9"/>
        <v>9.2086652811453646</v>
      </c>
      <c r="Q24" s="590">
        <f t="shared" si="9"/>
        <v>96.326203671631447</v>
      </c>
      <c r="R24" s="590">
        <f t="shared" si="9"/>
        <v>3.6740368702613249</v>
      </c>
      <c r="S24" s="590">
        <f t="shared" si="9"/>
        <v>100</v>
      </c>
      <c r="T24" s="589"/>
      <c r="U24" s="589"/>
      <c r="V24" s="544"/>
    </row>
    <row r="25" spans="1:22" ht="9.75" customHeight="1">
      <c r="A25" s="11" t="s">
        <v>1219</v>
      </c>
      <c r="B25" s="421" t="s">
        <v>1234</v>
      </c>
      <c r="C25" s="421" t="s">
        <v>1235</v>
      </c>
      <c r="D25" s="421" t="s">
        <v>1236</v>
      </c>
      <c r="E25" s="421" t="s">
        <v>1237</v>
      </c>
      <c r="F25" s="421" t="s">
        <v>1238</v>
      </c>
      <c r="G25" s="421" t="s">
        <v>1239</v>
      </c>
      <c r="H25" s="421" t="s">
        <v>1240</v>
      </c>
      <c r="I25" s="421" t="s">
        <v>1241</v>
      </c>
      <c r="J25" s="421" t="s">
        <v>1242</v>
      </c>
      <c r="K25" s="421" t="s">
        <v>1243</v>
      </c>
      <c r="L25" s="421" t="s">
        <v>1244</v>
      </c>
      <c r="M25" s="421" t="s">
        <v>1245</v>
      </c>
      <c r="N25" s="421" t="s">
        <v>1246</v>
      </c>
      <c r="O25" s="421" t="s">
        <v>1247</v>
      </c>
      <c r="P25" s="421" t="s">
        <v>1248</v>
      </c>
      <c r="Q25" s="908">
        <f>P25+O25+N25+M25+L25+K25+J25+I25+H25+G25+F25+E25+D25+C25+B25</f>
        <v>456815</v>
      </c>
      <c r="R25" s="421" t="s">
        <v>1249</v>
      </c>
      <c r="S25" s="421" t="s">
        <v>1250</v>
      </c>
      <c r="T25" s="421" t="s">
        <v>903</v>
      </c>
      <c r="U25" s="421">
        <f>S25+T25</f>
        <v>507753</v>
      </c>
      <c r="V25" s="53" t="s">
        <v>1219</v>
      </c>
    </row>
    <row r="26" spans="1:22" ht="9.75" customHeight="1">
      <c r="A26" s="543"/>
      <c r="B26" s="590">
        <f t="shared" ref="B26:S26" si="10">(B25/$S25)*100</f>
        <v>14.84178065810611</v>
      </c>
      <c r="C26" s="590">
        <f t="shared" si="10"/>
        <v>3.763781094106168</v>
      </c>
      <c r="D26" s="590">
        <f t="shared" si="10"/>
        <v>1.126404036598607</v>
      </c>
      <c r="E26" s="590">
        <f t="shared" si="10"/>
        <v>17.181365442127341</v>
      </c>
      <c r="F26" s="590">
        <f t="shared" si="10"/>
        <v>1.1831263744055267</v>
      </c>
      <c r="G26" s="590">
        <f t="shared" si="10"/>
        <v>7.9459952547954709</v>
      </c>
      <c r="H26" s="590">
        <f t="shared" si="10"/>
        <v>13.971262093181256</v>
      </c>
      <c r="I26" s="590">
        <f t="shared" si="10"/>
        <v>0.69611854121999595</v>
      </c>
      <c r="J26" s="590">
        <f t="shared" si="10"/>
        <v>10.351403348734435</v>
      </c>
      <c r="K26" s="590">
        <f t="shared" si="10"/>
        <v>1.6390215820029335</v>
      </c>
      <c r="L26" s="590">
        <f t="shared" si="10"/>
        <v>7.3927408106637991</v>
      </c>
      <c r="M26" s="590">
        <f t="shared" si="10"/>
        <v>2.6970625025133499</v>
      </c>
      <c r="N26" s="590">
        <f t="shared" si="10"/>
        <v>2.4923964552771882</v>
      </c>
      <c r="O26" s="590">
        <f t="shared" si="10"/>
        <v>2.1814818499101545</v>
      </c>
      <c r="P26" s="590">
        <f t="shared" si="10"/>
        <v>9.2211896028801412</v>
      </c>
      <c r="Q26" s="590">
        <f t="shared" si="10"/>
        <v>96.685129646522469</v>
      </c>
      <c r="R26" s="590">
        <f t="shared" si="10"/>
        <v>3.315082003991729</v>
      </c>
      <c r="S26" s="590">
        <f t="shared" si="10"/>
        <v>100</v>
      </c>
      <c r="T26" s="589"/>
      <c r="U26" s="589"/>
      <c r="V26" s="544"/>
    </row>
    <row r="27" spans="1:22" ht="9.75" customHeight="1">
      <c r="A27" s="11" t="s">
        <v>916</v>
      </c>
      <c r="B27" s="454" t="s">
        <v>272</v>
      </c>
      <c r="C27" s="454" t="s">
        <v>273</v>
      </c>
      <c r="D27" s="454" t="s">
        <v>274</v>
      </c>
      <c r="E27" s="454" t="s">
        <v>275</v>
      </c>
      <c r="F27" s="454" t="s">
        <v>276</v>
      </c>
      <c r="G27" s="454" t="s">
        <v>277</v>
      </c>
      <c r="H27" s="454" t="s">
        <v>278</v>
      </c>
      <c r="I27" s="454" t="s">
        <v>279</v>
      </c>
      <c r="J27" s="454" t="s">
        <v>280</v>
      </c>
      <c r="K27" s="454" t="s">
        <v>281</v>
      </c>
      <c r="L27" s="454" t="s">
        <v>282</v>
      </c>
      <c r="M27" s="454" t="s">
        <v>283</v>
      </c>
      <c r="N27" s="454" t="s">
        <v>284</v>
      </c>
      <c r="O27" s="454" t="s">
        <v>285</v>
      </c>
      <c r="P27" s="454" t="s">
        <v>904</v>
      </c>
      <c r="Q27" s="908">
        <f>P27+O27+N27+M27+L27+K27+J27+I27+H27+G27+F27+E27+D27+C27+B27</f>
        <v>525976</v>
      </c>
      <c r="R27" s="421">
        <f>S27-Q27</f>
        <v>19846</v>
      </c>
      <c r="S27" s="421" t="s">
        <v>286</v>
      </c>
      <c r="T27" s="421">
        <v>48390</v>
      </c>
      <c r="U27" s="421">
        <f>S27+T27</f>
        <v>594212</v>
      </c>
      <c r="V27" s="53" t="s">
        <v>916</v>
      </c>
    </row>
    <row r="28" spans="1:22" ht="9.75" customHeight="1">
      <c r="A28" s="543"/>
      <c r="B28" s="590">
        <f t="shared" ref="B28:S28" si="11">(B27/$S27)*100</f>
        <v>14.693801275873819</v>
      </c>
      <c r="C28" s="590">
        <f t="shared" si="11"/>
        <v>3.6257241371729245</v>
      </c>
      <c r="D28" s="590">
        <f t="shared" si="11"/>
        <v>1.1271073720003957</v>
      </c>
      <c r="E28" s="590">
        <f t="shared" si="11"/>
        <v>17.203593845612673</v>
      </c>
      <c r="F28" s="590">
        <f t="shared" si="11"/>
        <v>1.1120841593046817</v>
      </c>
      <c r="G28" s="590">
        <f t="shared" si="11"/>
        <v>8.0344874336322096</v>
      </c>
      <c r="H28" s="590">
        <f t="shared" si="11"/>
        <v>14.330679232423757</v>
      </c>
      <c r="I28" s="590">
        <f t="shared" si="11"/>
        <v>0.7125033435808743</v>
      </c>
      <c r="J28" s="590">
        <f t="shared" si="11"/>
        <v>10.425926400914584</v>
      </c>
      <c r="K28" s="590">
        <f t="shared" si="11"/>
        <v>1.6406447523185215</v>
      </c>
      <c r="L28" s="590">
        <f t="shared" si="11"/>
        <v>6.9726027899205238</v>
      </c>
      <c r="M28" s="590">
        <f t="shared" si="11"/>
        <v>2.6431693848910451</v>
      </c>
      <c r="N28" s="590">
        <f t="shared" si="11"/>
        <v>2.4791965146146544</v>
      </c>
      <c r="O28" s="590">
        <f t="shared" si="11"/>
        <v>2.165357937202971</v>
      </c>
      <c r="P28" s="590">
        <f t="shared" si="11"/>
        <v>9.1971375283517336</v>
      </c>
      <c r="Q28" s="590">
        <f t="shared" si="11"/>
        <v>96.36401610781536</v>
      </c>
      <c r="R28" s="590">
        <f t="shared" si="11"/>
        <v>3.6359838921846315</v>
      </c>
      <c r="S28" s="590">
        <f t="shared" si="11"/>
        <v>100</v>
      </c>
      <c r="T28" s="589"/>
      <c r="U28" s="589"/>
      <c r="V28" s="544"/>
    </row>
    <row r="29" spans="1:22" ht="9.75" customHeight="1">
      <c r="A29" s="11" t="s">
        <v>230</v>
      </c>
      <c r="B29" s="421">
        <v>89426</v>
      </c>
      <c r="C29" s="421">
        <v>21807</v>
      </c>
      <c r="D29" s="421">
        <v>7091</v>
      </c>
      <c r="E29" s="421">
        <v>106445</v>
      </c>
      <c r="F29" s="421">
        <v>6542</v>
      </c>
      <c r="G29" s="421">
        <v>50125</v>
      </c>
      <c r="H29" s="421">
        <v>88277</v>
      </c>
      <c r="I29" s="421">
        <v>4460</v>
      </c>
      <c r="J29" s="421">
        <v>64280</v>
      </c>
      <c r="K29" s="421">
        <v>10245</v>
      </c>
      <c r="L29" s="421">
        <v>41616</v>
      </c>
      <c r="M29" s="421">
        <v>16361</v>
      </c>
      <c r="N29" s="421">
        <v>15494</v>
      </c>
      <c r="O29" s="421">
        <v>13391</v>
      </c>
      <c r="P29" s="421">
        <v>58364</v>
      </c>
      <c r="Q29" s="908">
        <f>SUM(B29:P29)</f>
        <v>593924</v>
      </c>
      <c r="R29" s="421">
        <v>20871</v>
      </c>
      <c r="S29" s="421">
        <f>Q29+R29</f>
        <v>614795</v>
      </c>
      <c r="T29" s="421">
        <v>55901</v>
      </c>
      <c r="U29" s="421">
        <f>S29+T29</f>
        <v>670696</v>
      </c>
      <c r="V29" s="53" t="s">
        <v>230</v>
      </c>
    </row>
    <row r="30" spans="1:22" ht="9.75" customHeight="1">
      <c r="A30" s="543"/>
      <c r="B30" s="590">
        <f>(B29/S29)*100</f>
        <v>14.545661561984078</v>
      </c>
      <c r="C30" s="590">
        <f>(C29/S29)*100</f>
        <v>3.547036003871209</v>
      </c>
      <c r="D30" s="590">
        <f>(D29/S29)*100</f>
        <v>1.1533925942793939</v>
      </c>
      <c r="E30" s="590">
        <f>(E29/S29)*100</f>
        <v>17.313901381761401</v>
      </c>
      <c r="F30" s="590">
        <f>(F29/S29)*100</f>
        <v>1.0640945355768996</v>
      </c>
      <c r="G30" s="590">
        <f>(G29/S29)*100</f>
        <v>8.1531242121357526</v>
      </c>
      <c r="H30" s="590">
        <f>(H29/S29)*100</f>
        <v>14.358769996502899</v>
      </c>
      <c r="I30" s="590">
        <f>(I29/S29)*100</f>
        <v>0.72544506705487199</v>
      </c>
      <c r="J30" s="590">
        <f>(J29/S29)*100</f>
        <v>10.455517692889501</v>
      </c>
      <c r="K30" s="590">
        <f>(K29/S29)*100</f>
        <v>1.6664091282460005</v>
      </c>
      <c r="L30" s="590">
        <f>(L29/S29)*100</f>
        <v>6.7690856301694069</v>
      </c>
      <c r="M30" s="590">
        <f>(M29/S29)*100</f>
        <v>2.6612122740100359</v>
      </c>
      <c r="N30" s="590">
        <f>(N29/S29)*100</f>
        <v>2.5201896567148401</v>
      </c>
      <c r="O30" s="590">
        <f>(O29/S29)*100</f>
        <v>2.1781244154555583</v>
      </c>
      <c r="P30" s="590">
        <f>(P29/S29)*100</f>
        <v>9.4932457160516925</v>
      </c>
      <c r="Q30" s="590">
        <f>(Q29/S29)*100</f>
        <v>96.605209866703532</v>
      </c>
      <c r="R30" s="590">
        <f>(R29/S29)*100</f>
        <v>3.3947901332964645</v>
      </c>
      <c r="S30" s="590">
        <f>(S29/S29)*100</f>
        <v>100</v>
      </c>
      <c r="T30" s="589"/>
      <c r="U30" s="589"/>
      <c r="V30" s="544"/>
    </row>
    <row r="31" spans="1:22" ht="9.75" customHeight="1">
      <c r="A31" s="10" t="s">
        <v>220</v>
      </c>
      <c r="B31" s="455" t="s">
        <v>1392</v>
      </c>
      <c r="C31" s="455" t="s">
        <v>1393</v>
      </c>
      <c r="D31" s="455" t="s">
        <v>1394</v>
      </c>
      <c r="E31" s="455" t="s">
        <v>1395</v>
      </c>
      <c r="F31" s="455" t="s">
        <v>1396</v>
      </c>
      <c r="G31" s="455" t="s">
        <v>1397</v>
      </c>
      <c r="H31" s="455" t="s">
        <v>1398</v>
      </c>
      <c r="I31" s="455" t="s">
        <v>1399</v>
      </c>
      <c r="J31" s="455" t="s">
        <v>1400</v>
      </c>
      <c r="K31" s="455" t="s">
        <v>1401</v>
      </c>
      <c r="L31" s="158">
        <v>45683</v>
      </c>
      <c r="M31" s="158">
        <v>18757</v>
      </c>
      <c r="N31" s="158">
        <v>17908</v>
      </c>
      <c r="O31" s="158">
        <v>15142</v>
      </c>
      <c r="P31" s="158">
        <v>68465</v>
      </c>
      <c r="Q31" s="908">
        <f>P31+O31+N31+M31+L31+K31+J31+I31+H31+G31+F31+E31+D31+C31+B31</f>
        <v>671466</v>
      </c>
      <c r="R31" s="158">
        <v>22858</v>
      </c>
      <c r="S31" s="421">
        <f>Q31+R31</f>
        <v>694324</v>
      </c>
      <c r="T31" s="455" t="s">
        <v>1497</v>
      </c>
      <c r="U31" s="421">
        <f>S31+T31</f>
        <v>758928</v>
      </c>
      <c r="V31" s="188" t="s">
        <v>220</v>
      </c>
    </row>
    <row r="32" spans="1:22" ht="9.75" customHeight="1">
      <c r="A32" s="543"/>
      <c r="B32" s="590">
        <f>(B31/S31)*100</f>
        <v>14.487184657306965</v>
      </c>
      <c r="C32" s="590">
        <f>(C31/S31)*100</f>
        <v>3.4887170830908913</v>
      </c>
      <c r="D32" s="590">
        <f>(D31/S31)*100</f>
        <v>1.1686186852247653</v>
      </c>
      <c r="E32" s="590">
        <f>(E31/S31)*100</f>
        <v>17.298552260904131</v>
      </c>
      <c r="F32" s="590">
        <f>(F31/S31)*100</f>
        <v>1.0362597288873783</v>
      </c>
      <c r="G32" s="590">
        <f>(G31/S31)*100</f>
        <v>8.016142319723933</v>
      </c>
      <c r="H32" s="590">
        <f>(H31/S31)*100</f>
        <v>14.444985338257069</v>
      </c>
      <c r="I32" s="590">
        <f>(I31/S31)*100</f>
        <v>0.74172864541626093</v>
      </c>
      <c r="J32" s="590">
        <f>(J31/S31)*100</f>
        <v>10.352515540295308</v>
      </c>
      <c r="K32" s="590">
        <f>(K31/S31)*100</f>
        <v>1.7715072502174776</v>
      </c>
      <c r="L32" s="590">
        <f>(L31/S31)*100</f>
        <v>6.5794931472914664</v>
      </c>
      <c r="M32" s="590">
        <f>(M31/S31)*100</f>
        <v>2.7014765440918072</v>
      </c>
      <c r="N32" s="590">
        <f>(N31/S31)*100</f>
        <v>2.5791993363328936</v>
      </c>
      <c r="O32" s="590">
        <f>(O31/S31)*100</f>
        <v>2.1808262425034997</v>
      </c>
      <c r="P32" s="590">
        <f>(P31/S31)*100</f>
        <v>9.8606702346454966</v>
      </c>
      <c r="Q32" s="590">
        <f>(Q31/S31)*100</f>
        <v>96.707877014189336</v>
      </c>
      <c r="R32" s="590">
        <f>(R31/S31)*100</f>
        <v>3.2921229858106589</v>
      </c>
      <c r="S32" s="590">
        <f>(S31/S31)*100</f>
        <v>100</v>
      </c>
      <c r="T32" s="591"/>
      <c r="U32" s="591"/>
      <c r="V32" s="543"/>
    </row>
    <row r="33" spans="1:22" ht="9.75" customHeight="1">
      <c r="A33" s="11" t="s">
        <v>489</v>
      </c>
      <c r="B33" s="421">
        <v>113582</v>
      </c>
      <c r="C33" s="421">
        <v>26996</v>
      </c>
      <c r="D33" s="421">
        <v>9063</v>
      </c>
      <c r="E33" s="421">
        <v>135550</v>
      </c>
      <c r="F33" s="421">
        <v>8211</v>
      </c>
      <c r="G33" s="421">
        <v>63982</v>
      </c>
      <c r="H33" s="421">
        <v>115959</v>
      </c>
      <c r="I33" s="421">
        <v>5997</v>
      </c>
      <c r="J33" s="421">
        <v>85465</v>
      </c>
      <c r="K33" s="421">
        <v>14484</v>
      </c>
      <c r="L33" s="421">
        <v>50337</v>
      </c>
      <c r="M33" s="421">
        <v>22381</v>
      </c>
      <c r="N33" s="421">
        <v>21308</v>
      </c>
      <c r="O33" s="421">
        <v>17582</v>
      </c>
      <c r="P33" s="421">
        <v>77876</v>
      </c>
      <c r="Q33" s="908">
        <f>SUM(B33:P33)</f>
        <v>768773</v>
      </c>
      <c r="R33" s="421">
        <v>27931</v>
      </c>
      <c r="S33" s="421">
        <f>Q33+R33</f>
        <v>796704</v>
      </c>
      <c r="T33" s="77" t="s">
        <v>1803</v>
      </c>
      <c r="U33" s="421">
        <f>S33+T33</f>
        <v>869218</v>
      </c>
      <c r="V33" s="53" t="s">
        <v>489</v>
      </c>
    </row>
    <row r="34" spans="1:22" ht="9.75" customHeight="1">
      <c r="A34" s="543"/>
      <c r="B34" s="590">
        <f>(B33/S33)*100</f>
        <v>14.256486725308271</v>
      </c>
      <c r="C34" s="590">
        <f>(C33/S33)*100</f>
        <v>3.3884604570831827</v>
      </c>
      <c r="D34" s="590">
        <f>(D33/S33)*100</f>
        <v>1.1375617544282444</v>
      </c>
      <c r="E34" s="590">
        <f>(E33/S33)*100</f>
        <v>17.013847049845364</v>
      </c>
      <c r="F34" s="590">
        <f>(F33/S33)*100</f>
        <v>1.0306211591758043</v>
      </c>
      <c r="G34" s="590">
        <f>(G33/S33)*100</f>
        <v>8.0308370486403984</v>
      </c>
      <c r="H34" s="590">
        <f>(H33/S33)*100</f>
        <v>14.554840944692133</v>
      </c>
      <c r="I34" s="590">
        <f>(I33/S33)*100</f>
        <v>0.75272623207615375</v>
      </c>
      <c r="J34" s="590">
        <f>(J33/S33)*100</f>
        <v>10.72732156484717</v>
      </c>
      <c r="K34" s="590">
        <f>(K33/S33)*100</f>
        <v>1.8179901192914807</v>
      </c>
      <c r="L34" s="590">
        <f>(L33/S33)*100</f>
        <v>6.3181558019038437</v>
      </c>
      <c r="M34" s="590">
        <f>(M33/S33)*100</f>
        <v>2.809198899465799</v>
      </c>
      <c r="N34" s="590">
        <f>(N33/S33)*100</f>
        <v>2.6745190183556251</v>
      </c>
      <c r="O34" s="590">
        <f>(O33/S33)*100</f>
        <v>2.2068421898220669</v>
      </c>
      <c r="P34" s="590">
        <f>(P33/S33)*100</f>
        <v>9.7747720608908697</v>
      </c>
      <c r="Q34" s="590">
        <f>(Q33/S33)*100</f>
        <v>96.494181025826407</v>
      </c>
      <c r="R34" s="590">
        <f>(R33/S33)*100</f>
        <v>3.5058189741735952</v>
      </c>
      <c r="S34" s="590">
        <f>(S33/S33)*100</f>
        <v>100</v>
      </c>
      <c r="T34" s="551"/>
      <c r="U34" s="589"/>
      <c r="V34" s="543"/>
    </row>
    <row r="35" spans="1:22" s="811" customFormat="1" ht="9.75" customHeight="1">
      <c r="A35" s="315" t="s">
        <v>1580</v>
      </c>
      <c r="B35" s="256">
        <v>125751</v>
      </c>
      <c r="C35" s="256">
        <v>31003</v>
      </c>
      <c r="D35" s="256">
        <v>10446</v>
      </c>
      <c r="E35" s="256">
        <v>155750</v>
      </c>
      <c r="F35" s="256">
        <v>9595</v>
      </c>
      <c r="G35" s="256">
        <v>76635</v>
      </c>
      <c r="H35" s="256">
        <v>130684</v>
      </c>
      <c r="I35" s="256">
        <v>7137</v>
      </c>
      <c r="J35" s="256">
        <v>101810</v>
      </c>
      <c r="K35" s="256">
        <v>17576</v>
      </c>
      <c r="L35" s="256">
        <v>58949</v>
      </c>
      <c r="M35" s="256">
        <v>25320</v>
      </c>
      <c r="N35" s="256">
        <v>24058</v>
      </c>
      <c r="O35" s="256">
        <v>20574</v>
      </c>
      <c r="P35" s="256">
        <v>91485</v>
      </c>
      <c r="Q35" s="915">
        <f>SUM(B35:P35)</f>
        <v>886773</v>
      </c>
      <c r="R35" s="256">
        <v>31368</v>
      </c>
      <c r="S35" s="916">
        <f>Q35+R35</f>
        <v>918141</v>
      </c>
      <c r="T35" s="256">
        <v>89302</v>
      </c>
      <c r="U35" s="916">
        <f>S35+T35</f>
        <v>1007443</v>
      </c>
      <c r="V35" s="385" t="s">
        <v>1580</v>
      </c>
    </row>
    <row r="36" spans="1:22" s="114" customFormat="1" ht="9.75" customHeight="1">
      <c r="A36" s="543"/>
      <c r="B36" s="590">
        <f>(B35/S35)*100</f>
        <v>13.696262338791101</v>
      </c>
      <c r="C36" s="590">
        <f>(C35/S35)*100</f>
        <v>3.3767144697818745</v>
      </c>
      <c r="D36" s="590">
        <f>(D35/S35)*100</f>
        <v>1.1377337467774558</v>
      </c>
      <c r="E36" s="590">
        <f>(E35/S35)*100</f>
        <v>16.963625412654483</v>
      </c>
      <c r="F36" s="590">
        <f>(F35/S35)*100</f>
        <v>1.0450464580059053</v>
      </c>
      <c r="G36" s="590">
        <f>(G35/S35)*100</f>
        <v>8.3467571974239245</v>
      </c>
      <c r="H36" s="590">
        <f>(H35/S35)*100</f>
        <v>14.233543649613731</v>
      </c>
      <c r="I36" s="590">
        <f>(I35/S35)*100</f>
        <v>0.77733158632497623</v>
      </c>
      <c r="J36" s="590">
        <f>(J35/S35)*100</f>
        <v>11.088710775360211</v>
      </c>
      <c r="K36" s="590">
        <f>(K35/S35)*100</f>
        <v>1.9143029229715263</v>
      </c>
      <c r="L36" s="590">
        <f>(L35/S35)*100</f>
        <v>6.4204735438238796</v>
      </c>
      <c r="M36" s="590">
        <f>(M35/S35)*100</f>
        <v>2.7577463592193356</v>
      </c>
      <c r="N36" s="590">
        <f>(N35/S35)*100</f>
        <v>2.6202947041903148</v>
      </c>
      <c r="O36" s="590">
        <f>(O35/S35)*100</f>
        <v>2.2408322904651898</v>
      </c>
      <c r="P36" s="590">
        <f>(P35/S35)*100</f>
        <v>9.9641558322741286</v>
      </c>
      <c r="Q36" s="590">
        <f>(Q35/S35)*100</f>
        <v>96.583531287678042</v>
      </c>
      <c r="R36" s="590">
        <f>(R35/S35)*100</f>
        <v>3.4164687123219637</v>
      </c>
      <c r="S36" s="590">
        <f>(S35/S35)*100</f>
        <v>100</v>
      </c>
      <c r="T36" s="591"/>
      <c r="U36" s="591"/>
      <c r="V36" s="543"/>
    </row>
    <row r="37" spans="1:22" s="114" customFormat="1" ht="9.75" customHeight="1">
      <c r="A37" s="315" t="s">
        <v>2564</v>
      </c>
      <c r="B37" s="916">
        <v>70171</v>
      </c>
      <c r="C37" s="916">
        <v>16814</v>
      </c>
      <c r="D37" s="916">
        <v>7009</v>
      </c>
      <c r="E37" s="916">
        <v>73834</v>
      </c>
      <c r="F37" s="916">
        <v>5553</v>
      </c>
      <c r="G37" s="916">
        <v>29825</v>
      </c>
      <c r="H37" s="916">
        <v>62352</v>
      </c>
      <c r="I37" s="916">
        <v>3467</v>
      </c>
      <c r="J37" s="916">
        <v>46497</v>
      </c>
      <c r="K37" s="916">
        <v>14216</v>
      </c>
      <c r="L37" s="916">
        <v>37935</v>
      </c>
      <c r="M37" s="916">
        <v>14089</v>
      </c>
      <c r="N37" s="916">
        <v>9962</v>
      </c>
      <c r="O37" s="916">
        <v>9288</v>
      </c>
      <c r="P37" s="916">
        <v>56600</v>
      </c>
      <c r="Q37" s="915">
        <f>SUM(B37:P37)</f>
        <v>457612</v>
      </c>
      <c r="R37" s="916">
        <v>24725</v>
      </c>
      <c r="S37" s="916">
        <f>Q37+R37</f>
        <v>482337</v>
      </c>
      <c r="T37" s="916">
        <v>27208</v>
      </c>
      <c r="U37" s="916">
        <f>S37+T37</f>
        <v>509545</v>
      </c>
      <c r="V37" s="385" t="s">
        <v>2564</v>
      </c>
    </row>
    <row r="38" spans="1:22" s="114" customFormat="1" ht="9.75" customHeight="1">
      <c r="A38" s="543"/>
      <c r="B38" s="590">
        <f>(B37/S37)*100</f>
        <v>14.548127139323752</v>
      </c>
      <c r="C38" s="590">
        <f>(C37/S37)*100</f>
        <v>3.4859444745064136</v>
      </c>
      <c r="D38" s="590">
        <f>(D37/S37)*100</f>
        <v>1.4531333901400889</v>
      </c>
      <c r="E38" s="590">
        <f>(E37/S37)*100</f>
        <v>15.307554676502114</v>
      </c>
      <c r="F38" s="590">
        <f>(F37/S37)*100</f>
        <v>1.151269755378501</v>
      </c>
      <c r="G38" s="590">
        <f>(G37/S37)*100</f>
        <v>6.1834360623381581</v>
      </c>
      <c r="H38" s="590">
        <f>(H37/S37)*100</f>
        <v>12.927061369955032</v>
      </c>
      <c r="I38" s="590">
        <f>(I37/S37)*100</f>
        <v>0.71879204788353368</v>
      </c>
      <c r="J38" s="590">
        <f>(J37/S37)*100</f>
        <v>9.6399405394983173</v>
      </c>
      <c r="K38" s="590">
        <f>(K37/S37)*100</f>
        <v>2.9473169174249541</v>
      </c>
      <c r="L38" s="590">
        <f>(L37/S37)*100</f>
        <v>7.8648330938741999</v>
      </c>
      <c r="M38" s="590">
        <f>(M37/S37)*100</f>
        <v>2.9209867789533042</v>
      </c>
      <c r="N38" s="590">
        <f>(N37/S37)*100</f>
        <v>2.0653609405871829</v>
      </c>
      <c r="O38" s="590">
        <f>(O37/S37)*100</f>
        <v>1.9256246151549643</v>
      </c>
      <c r="P38" s="590">
        <f>(P37/S37)*100</f>
        <v>11.734534153506781</v>
      </c>
      <c r="Q38" s="590">
        <f>(Q37/S37)*100</f>
        <v>94.8739159550273</v>
      </c>
      <c r="R38" s="590">
        <f>(R37/S37)*100</f>
        <v>5.1260840449727052</v>
      </c>
      <c r="S38" s="590">
        <f>(S37/S37)*100</f>
        <v>100</v>
      </c>
      <c r="T38" s="591"/>
      <c r="U38" s="591"/>
      <c r="V38" s="544"/>
    </row>
    <row r="39" spans="1:22" s="114" customFormat="1" ht="9.75" customHeight="1">
      <c r="A39" s="315" t="s">
        <v>2565</v>
      </c>
      <c r="B39" s="916">
        <v>79010</v>
      </c>
      <c r="C39" s="916">
        <v>18890</v>
      </c>
      <c r="D39" s="916">
        <v>7866</v>
      </c>
      <c r="E39" s="916">
        <v>87606</v>
      </c>
      <c r="F39" s="916">
        <v>5720</v>
      </c>
      <c r="G39" s="916">
        <v>33513</v>
      </c>
      <c r="H39" s="916">
        <v>72971</v>
      </c>
      <c r="I39" s="916">
        <v>4069</v>
      </c>
      <c r="J39" s="916">
        <v>53132</v>
      </c>
      <c r="K39" s="916">
        <v>16265</v>
      </c>
      <c r="L39" s="916">
        <v>41337</v>
      </c>
      <c r="M39" s="916">
        <v>17132</v>
      </c>
      <c r="N39" s="916">
        <v>11853</v>
      </c>
      <c r="O39" s="916">
        <v>10453</v>
      </c>
      <c r="P39" s="916">
        <v>63544</v>
      </c>
      <c r="Q39" s="915">
        <f>SUM(B39:P39)</f>
        <v>523361</v>
      </c>
      <c r="R39" s="916">
        <v>26439</v>
      </c>
      <c r="S39" s="916">
        <f>Q39+R39</f>
        <v>549800</v>
      </c>
      <c r="T39" s="916">
        <v>35276</v>
      </c>
      <c r="U39" s="916">
        <f>S39+T39</f>
        <v>585076</v>
      </c>
      <c r="V39" s="385" t="s">
        <v>2565</v>
      </c>
    </row>
    <row r="40" spans="1:22" s="114" customFormat="1" ht="9.75" customHeight="1">
      <c r="A40" s="543"/>
      <c r="B40" s="590">
        <f>(B39/S39)*100</f>
        <v>14.370680247362678</v>
      </c>
      <c r="C40" s="590">
        <f>(C39/S39)*100</f>
        <v>3.4357948344852671</v>
      </c>
      <c r="D40" s="590">
        <f>(D39/S39)*100</f>
        <v>1.4307020734812659</v>
      </c>
      <c r="E40" s="590">
        <f>(E39/S39)*100</f>
        <v>15.934157875591124</v>
      </c>
      <c r="F40" s="590">
        <f>(F39/S39)*100</f>
        <v>1.0403783193888687</v>
      </c>
      <c r="G40" s="590">
        <f>(G39/S39)*100</f>
        <v>6.0954892688250268</v>
      </c>
      <c r="H40" s="590">
        <f>(H39/S39)*100</f>
        <v>13.272280829392507</v>
      </c>
      <c r="I40" s="590">
        <f>(I39/S39)*100</f>
        <v>0.74008730447435422</v>
      </c>
      <c r="J40" s="590">
        <f>(J39/S39)*100</f>
        <v>9.663877773735905</v>
      </c>
      <c r="K40" s="590">
        <f>(K39/S39)*100</f>
        <v>2.9583484903601307</v>
      </c>
      <c r="L40" s="590">
        <f>(L39/S39)*100</f>
        <v>7.5185522008002907</v>
      </c>
      <c r="M40" s="590">
        <f>(M39/S39)*100</f>
        <v>3.1160421971626042</v>
      </c>
      <c r="N40" s="590">
        <f>(N39/S39)*100</f>
        <v>2.1558748635867588</v>
      </c>
      <c r="O40" s="590">
        <f>(O39/S39)*100</f>
        <v>1.9012368133866859</v>
      </c>
      <c r="P40" s="590">
        <f>(P39/S39)*100</f>
        <v>11.557657329938159</v>
      </c>
      <c r="Q40" s="590">
        <f>(Q39/S39)*100</f>
        <v>95.191160421971617</v>
      </c>
      <c r="R40" s="590">
        <f>(R39/S39)*100</f>
        <v>4.8088395780283744</v>
      </c>
      <c r="S40" s="590">
        <f>(S39/S39)*100</f>
        <v>100</v>
      </c>
      <c r="T40" s="591"/>
      <c r="U40" s="591"/>
      <c r="V40" s="544"/>
    </row>
    <row r="41" spans="1:22" s="114" customFormat="1" ht="9.75" customHeight="1">
      <c r="A41" s="315" t="s">
        <v>2566</v>
      </c>
      <c r="B41" s="916">
        <v>89986</v>
      </c>
      <c r="C41" s="916">
        <v>20635</v>
      </c>
      <c r="D41" s="916">
        <v>9110</v>
      </c>
      <c r="E41" s="916">
        <v>101371</v>
      </c>
      <c r="F41" s="916">
        <v>6441</v>
      </c>
      <c r="G41" s="916">
        <v>38532</v>
      </c>
      <c r="H41" s="916">
        <v>86149</v>
      </c>
      <c r="I41" s="916">
        <v>4826</v>
      </c>
      <c r="J41" s="916">
        <v>59620</v>
      </c>
      <c r="K41" s="916">
        <v>18702</v>
      </c>
      <c r="L41" s="916">
        <v>45118</v>
      </c>
      <c r="M41" s="916">
        <v>19664</v>
      </c>
      <c r="N41" s="916">
        <v>14332</v>
      </c>
      <c r="O41" s="916">
        <v>12164</v>
      </c>
      <c r="P41" s="916">
        <v>72200</v>
      </c>
      <c r="Q41" s="915">
        <f>SUM(B41:P41)</f>
        <v>598850</v>
      </c>
      <c r="R41" s="916">
        <v>29832</v>
      </c>
      <c r="S41" s="916">
        <f>Q41+R41</f>
        <v>628682</v>
      </c>
      <c r="T41" s="916">
        <v>48390</v>
      </c>
      <c r="U41" s="916">
        <f>S41+T41</f>
        <v>677072</v>
      </c>
      <c r="V41" s="385" t="s">
        <v>2566</v>
      </c>
    </row>
    <row r="42" spans="1:22" s="114" customFormat="1" ht="9.75" customHeight="1">
      <c r="A42" s="543"/>
      <c r="B42" s="590">
        <f>(B41/S41)*100</f>
        <v>14.313436681820061</v>
      </c>
      <c r="C42" s="590">
        <f>(C41/S41)*100</f>
        <v>3.2822635290973818</v>
      </c>
      <c r="D42" s="590">
        <f>(D41/S41)*100</f>
        <v>1.4490632784142061</v>
      </c>
      <c r="E42" s="590">
        <f>(E41/S41)*100</f>
        <v>16.124368122516628</v>
      </c>
      <c r="F42" s="590">
        <f>(F41/S41)*100</f>
        <v>1.0245243223123932</v>
      </c>
      <c r="G42" s="590">
        <f>(G41/S41)*100</f>
        <v>6.1290127600281217</v>
      </c>
      <c r="H42" s="590">
        <f>(H41/S41)*100</f>
        <v>13.703112225258558</v>
      </c>
      <c r="I42" s="590">
        <f>(I41/S41)*100</f>
        <v>0.76763769282403505</v>
      </c>
      <c r="J42" s="590">
        <f>(J41/S41)*100</f>
        <v>9.4833317957250252</v>
      </c>
      <c r="K42" s="590">
        <f>(K41/S41)*100</f>
        <v>2.9747948883537307</v>
      </c>
      <c r="L42" s="590">
        <f>(L41/S41)*100</f>
        <v>7.1766012069695018</v>
      </c>
      <c r="M42" s="590">
        <f>(M41/S41)*100</f>
        <v>3.1278134255474148</v>
      </c>
      <c r="N42" s="590">
        <f>(N41/S41)*100</f>
        <v>2.2796898909146437</v>
      </c>
      <c r="O42" s="590">
        <f>(O41/S41)*100</f>
        <v>1.9348414619791883</v>
      </c>
      <c r="P42" s="590">
        <f>(P41/S41)*100</f>
        <v>11.484343435950132</v>
      </c>
      <c r="Q42" s="590">
        <f>(Q41/S41)*100</f>
        <v>95.25483471771102</v>
      </c>
      <c r="R42" s="590">
        <f>(R41/S41)*100</f>
        <v>4.7451652822889798</v>
      </c>
      <c r="S42" s="590">
        <f>(S41/S41)*100</f>
        <v>100</v>
      </c>
      <c r="T42" s="591"/>
      <c r="U42" s="591"/>
      <c r="V42" s="544"/>
    </row>
    <row r="43" spans="1:22" s="114" customFormat="1" ht="9.75" customHeight="1">
      <c r="A43" s="315" t="s">
        <v>2567</v>
      </c>
      <c r="B43" s="916">
        <v>97807</v>
      </c>
      <c r="C43" s="916">
        <v>22793</v>
      </c>
      <c r="D43" s="916">
        <v>10963</v>
      </c>
      <c r="E43" s="916">
        <v>116197</v>
      </c>
      <c r="F43" s="916">
        <v>7012</v>
      </c>
      <c r="G43" s="916">
        <v>44180</v>
      </c>
      <c r="H43" s="916">
        <v>96094</v>
      </c>
      <c r="I43" s="916">
        <v>5790</v>
      </c>
      <c r="J43" s="916">
        <v>67185</v>
      </c>
      <c r="K43" s="916">
        <v>20003</v>
      </c>
      <c r="L43" s="916">
        <v>49448</v>
      </c>
      <c r="M43" s="916">
        <v>22464</v>
      </c>
      <c r="N43" s="916">
        <v>16250</v>
      </c>
      <c r="O43" s="916">
        <v>13368</v>
      </c>
      <c r="P43" s="916">
        <v>85366</v>
      </c>
      <c r="Q43" s="915">
        <f>SUM(B43:P43)</f>
        <v>674920</v>
      </c>
      <c r="R43" s="916">
        <v>30152</v>
      </c>
      <c r="S43" s="916">
        <f>Q43+R43</f>
        <v>705072</v>
      </c>
      <c r="T43" s="916">
        <v>55901</v>
      </c>
      <c r="U43" s="916">
        <f>S43+T43</f>
        <v>760973</v>
      </c>
      <c r="V43" s="385" t="s">
        <v>2567</v>
      </c>
    </row>
    <row r="44" spans="1:22" s="114" customFormat="1" ht="9.75" customHeight="1">
      <c r="A44" s="543"/>
      <c r="B44" s="590">
        <f>(B43/S43)*100</f>
        <v>13.871916626954411</v>
      </c>
      <c r="C44" s="590">
        <f>(C43/S43)*100</f>
        <v>3.2327194953139538</v>
      </c>
      <c r="D44" s="590">
        <f>(D43/S43)*100</f>
        <v>1.5548766650781765</v>
      </c>
      <c r="E44" s="590">
        <f>(E43/S43)*100</f>
        <v>16.480160891369959</v>
      </c>
      <c r="F44" s="590">
        <f>(F43/S43)*100</f>
        <v>0.99450836226654871</v>
      </c>
      <c r="G44" s="590">
        <f>(G43/S43)*100</f>
        <v>6.266026732021694</v>
      </c>
      <c r="H44" s="590">
        <f>(H43/S43)*100</f>
        <v>13.628962715864478</v>
      </c>
      <c r="I44" s="590">
        <f>(I43/S43)*100</f>
        <v>0.82119272925318265</v>
      </c>
      <c r="J44" s="590">
        <f>(J43/S43)*100</f>
        <v>9.5288140785621902</v>
      </c>
      <c r="K44" s="590">
        <f>(K43/S43)*100</f>
        <v>2.8370152268137154</v>
      </c>
      <c r="L44" s="590">
        <f>(L43/S43)*100</f>
        <v>7.0131844691038641</v>
      </c>
      <c r="M44" s="590">
        <f>(M43/S43)*100</f>
        <v>3.1860575941180476</v>
      </c>
      <c r="N44" s="590">
        <f>(N43/S43)*100</f>
        <v>2.3047291624117823</v>
      </c>
      <c r="O44" s="590">
        <f>(O43/S43)*100</f>
        <v>1.8959765811151201</v>
      </c>
      <c r="P44" s="590">
        <f>(P43/S43)*100</f>
        <v>12.10741598021195</v>
      </c>
      <c r="Q44" s="590">
        <f>(Q43/S43)*100</f>
        <v>95.723557310459071</v>
      </c>
      <c r="R44" s="590">
        <f>(R43/S43)*100</f>
        <v>4.276442689540926</v>
      </c>
      <c r="S44" s="590">
        <f>(S43/S43)*100</f>
        <v>100</v>
      </c>
      <c r="T44" s="591"/>
      <c r="U44" s="591"/>
      <c r="V44" s="543"/>
    </row>
    <row r="45" spans="1:22" s="811" customFormat="1" ht="9.75" customHeight="1">
      <c r="A45" s="480" t="s">
        <v>2563</v>
      </c>
      <c r="B45" s="256">
        <v>110990</v>
      </c>
      <c r="C45" s="256">
        <v>24601</v>
      </c>
      <c r="D45" s="256">
        <v>12645</v>
      </c>
      <c r="E45" s="256">
        <v>128573</v>
      </c>
      <c r="F45" s="256">
        <v>8346</v>
      </c>
      <c r="G45" s="256">
        <v>49474</v>
      </c>
      <c r="H45" s="256">
        <v>106606</v>
      </c>
      <c r="I45" s="256">
        <v>7028</v>
      </c>
      <c r="J45" s="256">
        <v>80454</v>
      </c>
      <c r="K45" s="256">
        <v>23448</v>
      </c>
      <c r="L45" s="256">
        <v>54432</v>
      </c>
      <c r="M45" s="256">
        <v>25426</v>
      </c>
      <c r="N45" s="256">
        <v>18257</v>
      </c>
      <c r="O45" s="256">
        <v>15326</v>
      </c>
      <c r="P45" s="256">
        <v>95692</v>
      </c>
      <c r="Q45" s="915">
        <f>SUM(B45:P45)</f>
        <v>761298</v>
      </c>
      <c r="R45" s="256">
        <v>36241</v>
      </c>
      <c r="S45" s="916">
        <f>Q45+R45</f>
        <v>797539</v>
      </c>
      <c r="T45" s="256">
        <v>64604</v>
      </c>
      <c r="U45" s="916">
        <f>S45+T45</f>
        <v>862143</v>
      </c>
      <c r="V45" s="736" t="s">
        <v>2563</v>
      </c>
    </row>
    <row r="46" spans="1:22" ht="9.75" customHeight="1">
      <c r="A46" s="543"/>
      <c r="B46" s="590">
        <f>(B45/S45)*100</f>
        <v>13.916560820223211</v>
      </c>
      <c r="C46" s="590">
        <f>(C45/S45)*100</f>
        <v>3.0846140439527097</v>
      </c>
      <c r="D46" s="590">
        <f>(D45/S45)*100</f>
        <v>1.5855024017634247</v>
      </c>
      <c r="E46" s="590">
        <f>(E45/S45)*100</f>
        <v>16.121217896554274</v>
      </c>
      <c r="F46" s="590">
        <f>(F45/S45)*100</f>
        <v>1.0464692008792047</v>
      </c>
      <c r="G46" s="590">
        <f>(G45/S45)*100</f>
        <v>6.2033330031509433</v>
      </c>
      <c r="H46" s="590">
        <f>(H45/S45)*100</f>
        <v>13.366869833324765</v>
      </c>
      <c r="I46" s="590">
        <f>(I45/S45)*100</f>
        <v>0.8812108247997904</v>
      </c>
      <c r="J46" s="590">
        <f>(J45/S45)*100</f>
        <v>10.08778254104188</v>
      </c>
      <c r="K46" s="590">
        <f>(K45/S45)*100</f>
        <v>2.9400443113126755</v>
      </c>
      <c r="L46" s="590">
        <f>(L45/S45)*100</f>
        <v>6.8249953920748698</v>
      </c>
      <c r="M46" s="590">
        <f>(M45/S45)*100</f>
        <v>3.1880572611496114</v>
      </c>
      <c r="N46" s="590">
        <f>(N45/S45)*100</f>
        <v>2.289167050137987</v>
      </c>
      <c r="O46" s="590">
        <f>(O45/S45)*100</f>
        <v>1.9216615112239026</v>
      </c>
      <c r="P46" s="590">
        <f>(P45/S45)*100</f>
        <v>11.998410109098113</v>
      </c>
      <c r="Q46" s="590">
        <f>(Q45/S45)*100</f>
        <v>95.455896200687363</v>
      </c>
      <c r="R46" s="590">
        <f>(R45/S45)*100</f>
        <v>4.5441037993126354</v>
      </c>
      <c r="S46" s="590">
        <f>(S45/S45)*100</f>
        <v>100</v>
      </c>
      <c r="T46" s="591"/>
      <c r="U46" s="591"/>
      <c r="V46" s="543"/>
    </row>
    <row r="47" spans="1:22" ht="9.75" customHeight="1">
      <c r="A47" s="315" t="s">
        <v>2358</v>
      </c>
      <c r="B47" s="916">
        <v>125469</v>
      </c>
      <c r="C47" s="916">
        <v>28482</v>
      </c>
      <c r="D47" s="916">
        <v>14208</v>
      </c>
      <c r="E47" s="916">
        <v>146503</v>
      </c>
      <c r="F47" s="916">
        <v>11589</v>
      </c>
      <c r="G47" s="916">
        <v>57072</v>
      </c>
      <c r="H47" s="916">
        <v>121332</v>
      </c>
      <c r="I47" s="916">
        <v>8228</v>
      </c>
      <c r="J47" s="916">
        <v>94571</v>
      </c>
      <c r="K47" s="916">
        <v>27545</v>
      </c>
      <c r="L47" s="916">
        <v>60119</v>
      </c>
      <c r="M47" s="916">
        <v>30282</v>
      </c>
      <c r="N47" s="916">
        <v>21392</v>
      </c>
      <c r="O47" s="916">
        <v>17731</v>
      </c>
      <c r="P47" s="916">
        <v>104608</v>
      </c>
      <c r="Q47" s="915">
        <f>SUM(B47:P47)</f>
        <v>869131</v>
      </c>
      <c r="R47" s="916">
        <v>46698</v>
      </c>
      <c r="S47" s="916">
        <f>Q47+R47</f>
        <v>915829</v>
      </c>
      <c r="T47" s="916">
        <v>72513</v>
      </c>
      <c r="U47" s="916">
        <f>S47+T47</f>
        <v>988342</v>
      </c>
      <c r="V47" s="385" t="s">
        <v>2358</v>
      </c>
    </row>
    <row r="48" spans="1:22" ht="9.75" customHeight="1">
      <c r="A48" s="543"/>
      <c r="B48" s="590">
        <f>(B47/S47)*100</f>
        <v>13.700046624424427</v>
      </c>
      <c r="C48" s="590">
        <f>(C47/S47)*100</f>
        <v>3.109969219144622</v>
      </c>
      <c r="D48" s="590">
        <f>(D47/S47)*100</f>
        <v>1.5513813168178776</v>
      </c>
      <c r="E48" s="590">
        <f>(E47/S47)*100</f>
        <v>15.996763587962381</v>
      </c>
      <c r="F48" s="590">
        <f>(F47/S47)*100</f>
        <v>1.2654109009432983</v>
      </c>
      <c r="G48" s="590">
        <f>(G47/S47)*100</f>
        <v>6.2317310327582991</v>
      </c>
      <c r="H48" s="590">
        <f>(H47/S47)*100</f>
        <v>13.248324741845913</v>
      </c>
      <c r="I48" s="590">
        <f>(I47/S47)*100</f>
        <v>0.89842099343873139</v>
      </c>
      <c r="J48" s="590">
        <f>(J47/S47)*100</f>
        <v>10.326272699379469</v>
      </c>
      <c r="K48" s="590">
        <f>(K47/S47)*100</f>
        <v>3.0076575430566188</v>
      </c>
      <c r="L48" s="590">
        <f>(L47/S47)*100</f>
        <v>6.5644350637509845</v>
      </c>
      <c r="M48" s="590">
        <f>(M47/S47)*100</f>
        <v>3.3065124602955356</v>
      </c>
      <c r="N48" s="590">
        <f>(N47/S47)*100</f>
        <v>2.3358072303890793</v>
      </c>
      <c r="O48" s="590">
        <f>(O47/S47)*100</f>
        <v>1.9360601160260269</v>
      </c>
      <c r="P48" s="590">
        <f>(P47/S47)*100</f>
        <v>11.422219650174869</v>
      </c>
      <c r="Q48" s="590">
        <f>(Q47/S47)*100</f>
        <v>94.901013180408128</v>
      </c>
      <c r="R48" s="590">
        <f>(R47/S47)*100</f>
        <v>5.0989868195918673</v>
      </c>
      <c r="S48" s="590">
        <f>(S47/S47)*100</f>
        <v>100</v>
      </c>
      <c r="T48" s="591"/>
      <c r="U48" s="591"/>
      <c r="V48" s="543"/>
    </row>
    <row r="49" spans="1:27" ht="9.75" customHeight="1">
      <c r="A49" s="315" t="s">
        <v>2359</v>
      </c>
      <c r="B49" s="916">
        <v>138879</v>
      </c>
      <c r="C49" s="916">
        <v>31827</v>
      </c>
      <c r="D49" s="916">
        <v>16650</v>
      </c>
      <c r="E49" s="916">
        <v>167928</v>
      </c>
      <c r="F49" s="916">
        <v>14189</v>
      </c>
      <c r="G49" s="916">
        <v>68305</v>
      </c>
      <c r="H49" s="916">
        <v>137396</v>
      </c>
      <c r="I49" s="916">
        <v>9755</v>
      </c>
      <c r="J49" s="916">
        <v>112702</v>
      </c>
      <c r="K49" s="916">
        <v>36316</v>
      </c>
      <c r="L49" s="916">
        <v>68715</v>
      </c>
      <c r="M49" s="916">
        <v>33499</v>
      </c>
      <c r="N49" s="916">
        <v>25048</v>
      </c>
      <c r="O49" s="916">
        <v>20133</v>
      </c>
      <c r="P49" s="916">
        <v>117293</v>
      </c>
      <c r="Q49" s="915">
        <f>SUM(B49:P49)</f>
        <v>998635</v>
      </c>
      <c r="R49" s="916">
        <v>56569</v>
      </c>
      <c r="S49" s="916">
        <f>Q49+R49</f>
        <v>1055204</v>
      </c>
      <c r="T49" s="916">
        <v>89302</v>
      </c>
      <c r="U49" s="916">
        <f>S49+T49</f>
        <v>1144506</v>
      </c>
      <c r="V49" s="385" t="s">
        <v>2359</v>
      </c>
    </row>
    <row r="50" spans="1:27" ht="9.75" customHeight="1">
      <c r="A50" s="543"/>
      <c r="B50" s="590">
        <f>(B49/S49)*100</f>
        <v>13.161341314096612</v>
      </c>
      <c r="C50" s="590">
        <f>(C49/S49)*100</f>
        <v>3.0161940250416035</v>
      </c>
      <c r="D50" s="590">
        <f>(D49/S49)*100</f>
        <v>1.5778939427826277</v>
      </c>
      <c r="E50" s="590">
        <f>(E49/S49)*100</f>
        <v>15.914268710126194</v>
      </c>
      <c r="F50" s="590">
        <f>(F49/S49)*100</f>
        <v>1.344668898146709</v>
      </c>
      <c r="G50" s="590">
        <f>(G49/S49)*100</f>
        <v>6.473155901607651</v>
      </c>
      <c r="H50" s="590">
        <f>(H49/S49)*100</f>
        <v>13.02079976952324</v>
      </c>
      <c r="I50" s="590">
        <f>(I49/S49)*100</f>
        <v>0.92446579050117317</v>
      </c>
      <c r="J50" s="590">
        <f>(J49/S49)*100</f>
        <v>10.68058877714641</v>
      </c>
      <c r="K50" s="590">
        <f>(K49/S49)*100</f>
        <v>3.441609394960595</v>
      </c>
      <c r="L50" s="590">
        <f>(L49/S49)*100</f>
        <v>6.5120109476461421</v>
      </c>
      <c r="M50" s="590">
        <f>(M49/S49)*100</f>
        <v>3.17464679815467</v>
      </c>
      <c r="N50" s="590">
        <f>(N49/S49)*100</f>
        <v>2.3737590077368926</v>
      </c>
      <c r="O50" s="590">
        <f>(O49/S49)*100</f>
        <v>1.9079722972998585</v>
      </c>
      <c r="P50" s="590">
        <f>(P49/S49)*100</f>
        <v>11.115670524372538</v>
      </c>
      <c r="Q50" s="590">
        <f>(Q49/S49)*100</f>
        <v>94.639046099142917</v>
      </c>
      <c r="R50" s="590">
        <f>(R49/S49)*100</f>
        <v>5.3609539008570861</v>
      </c>
      <c r="S50" s="590">
        <f>(S49/S49)*100</f>
        <v>100</v>
      </c>
      <c r="T50" s="551"/>
      <c r="U50" s="551"/>
      <c r="V50" s="544"/>
    </row>
    <row r="51" spans="1:27" ht="9.75" customHeight="1">
      <c r="A51" s="315" t="s">
        <v>2308</v>
      </c>
      <c r="B51" s="916">
        <v>148758</v>
      </c>
      <c r="C51" s="916">
        <v>36995</v>
      </c>
      <c r="D51" s="916">
        <v>19461</v>
      </c>
      <c r="E51" s="916">
        <v>197127</v>
      </c>
      <c r="F51" s="916">
        <v>16381</v>
      </c>
      <c r="G51" s="916">
        <v>82432</v>
      </c>
      <c r="H51" s="916">
        <v>154579</v>
      </c>
      <c r="I51" s="916">
        <v>11263</v>
      </c>
      <c r="J51" s="916">
        <v>124281</v>
      </c>
      <c r="K51" s="916">
        <v>42237</v>
      </c>
      <c r="L51" s="916">
        <v>78820</v>
      </c>
      <c r="M51" s="916">
        <v>37678</v>
      </c>
      <c r="N51" s="916">
        <v>28429</v>
      </c>
      <c r="O51" s="916">
        <v>23868</v>
      </c>
      <c r="P51" s="916">
        <v>138952</v>
      </c>
      <c r="Q51" s="915">
        <f>SUM(B51:P51)</f>
        <v>1141261</v>
      </c>
      <c r="R51" s="916">
        <v>57662</v>
      </c>
      <c r="S51" s="916">
        <f>Q51+R51</f>
        <v>1198923</v>
      </c>
      <c r="T51" s="916">
        <v>96429</v>
      </c>
      <c r="U51" s="916">
        <f>S51+T51</f>
        <v>1295352</v>
      </c>
      <c r="V51" s="385" t="s">
        <v>2308</v>
      </c>
    </row>
    <row r="52" spans="1:27" ht="9.75" customHeight="1">
      <c r="A52" s="543"/>
      <c r="B52" s="590">
        <f>(B51/S51)*100</f>
        <v>12.407635853178228</v>
      </c>
      <c r="C52" s="590">
        <f>(C51/S51)*100</f>
        <v>3.0856860699144151</v>
      </c>
      <c r="D52" s="590">
        <f>(D51/S51)*100</f>
        <v>1.623206828128245</v>
      </c>
      <c r="E52" s="590">
        <f>(E51/S51)*100</f>
        <v>16.442006701014162</v>
      </c>
      <c r="F52" s="590">
        <f>(F51/S51)*100</f>
        <v>1.3663095961959191</v>
      </c>
      <c r="G52" s="590">
        <f>(G51/S51)*100</f>
        <v>6.8755040982615228</v>
      </c>
      <c r="H52" s="590">
        <f>(H51/S51)*100</f>
        <v>12.893154939891888</v>
      </c>
      <c r="I52" s="590">
        <f>(I51/S51)*100</f>
        <v>0.93942646858889178</v>
      </c>
      <c r="J52" s="590">
        <f>(J51/S51)*100</f>
        <v>10.366053533045909</v>
      </c>
      <c r="K52" s="590">
        <f>(K51/S51)*100</f>
        <v>3.5229118133524842</v>
      </c>
      <c r="L52" s="590">
        <f>(L51/S51)*100</f>
        <v>6.5742337080863411</v>
      </c>
      <c r="M52" s="590">
        <f>(M51/S51)*100</f>
        <v>3.1426538651773299</v>
      </c>
      <c r="N52" s="590">
        <f>(N51/S51)*100</f>
        <v>2.3712114956506798</v>
      </c>
      <c r="O52" s="590">
        <f>(O51/S51)*100</f>
        <v>1.9907867310911542</v>
      </c>
      <c r="P52" s="590">
        <f>(P51/S51)*100</f>
        <v>11.589735120604075</v>
      </c>
      <c r="Q52" s="590">
        <f>(Q51/S51)*100</f>
        <v>95.190516822181237</v>
      </c>
      <c r="R52" s="590">
        <f>(R51/S51)*100</f>
        <v>4.809483177818759</v>
      </c>
      <c r="S52" s="590">
        <f>(S51/S51)*100</f>
        <v>100</v>
      </c>
      <c r="T52" s="551"/>
      <c r="U52" s="551"/>
      <c r="V52" s="544"/>
    </row>
    <row r="53" spans="1:27" ht="9.75" customHeight="1">
      <c r="A53" s="448" t="s">
        <v>2557</v>
      </c>
      <c r="B53" s="916">
        <v>163968</v>
      </c>
      <c r="C53" s="916">
        <v>42308</v>
      </c>
      <c r="D53" s="916">
        <v>21080</v>
      </c>
      <c r="E53" s="916">
        <v>223221</v>
      </c>
      <c r="F53" s="916">
        <v>18401</v>
      </c>
      <c r="G53" s="916">
        <v>90834</v>
      </c>
      <c r="H53" s="916">
        <v>172575</v>
      </c>
      <c r="I53" s="916">
        <v>13035</v>
      </c>
      <c r="J53" s="916">
        <v>134317</v>
      </c>
      <c r="K53" s="916">
        <v>48563</v>
      </c>
      <c r="L53" s="916">
        <v>91229</v>
      </c>
      <c r="M53" s="916">
        <v>44728</v>
      </c>
      <c r="N53" s="916">
        <v>32767</v>
      </c>
      <c r="O53" s="916">
        <v>26924</v>
      </c>
      <c r="P53" s="916">
        <v>156551</v>
      </c>
      <c r="Q53" s="915">
        <f>SUM(B53:P53)</f>
        <v>1280501</v>
      </c>
      <c r="R53" s="916">
        <v>63173</v>
      </c>
      <c r="S53" s="916">
        <f>Q53+R53</f>
        <v>1343674</v>
      </c>
      <c r="T53" s="916">
        <v>89549</v>
      </c>
      <c r="U53" s="916">
        <f>S53+T53</f>
        <v>1433223</v>
      </c>
      <c r="V53" s="385" t="s">
        <v>2557</v>
      </c>
    </row>
    <row r="54" spans="1:27" ht="9.75" customHeight="1">
      <c r="A54" s="543"/>
      <c r="B54" s="590">
        <f>(B53/S53)*100</f>
        <v>12.20295994415312</v>
      </c>
      <c r="C54" s="590">
        <f>(C53/S53)*100</f>
        <v>3.1486804090873233</v>
      </c>
      <c r="D54" s="590">
        <f>(D53/S53)*100</f>
        <v>1.5688329163174994</v>
      </c>
      <c r="E54" s="590">
        <f>(E53/S53)*100</f>
        <v>16.612734934217674</v>
      </c>
      <c r="F54" s="590">
        <f>(F53/S53)*100</f>
        <v>1.3694541979676618</v>
      </c>
      <c r="G54" s="590">
        <f>(G53/S53)*100</f>
        <v>6.7601218747999887</v>
      </c>
      <c r="H54" s="590">
        <f>(H53/S53)*100</f>
        <v>12.843517103106855</v>
      </c>
      <c r="I54" s="590">
        <f>(I53/S53)*100</f>
        <v>0.9701013787570496</v>
      </c>
      <c r="J54" s="590">
        <f>(J53/S53)*100</f>
        <v>9.9962490901811005</v>
      </c>
      <c r="K54" s="590">
        <f>(K53/S53)*100</f>
        <v>3.6141951098257463</v>
      </c>
      <c r="L54" s="590">
        <f>(L53/S53)*100</f>
        <v>6.7895188862774747</v>
      </c>
      <c r="M54" s="590">
        <f>(M53/S53)*100</f>
        <v>3.3287836186455944</v>
      </c>
      <c r="N54" s="590">
        <f>(N53/S53)*100</f>
        <v>2.4386123419817602</v>
      </c>
      <c r="O54" s="590">
        <f>(O53/S53)*100</f>
        <v>2.0037598405565635</v>
      </c>
      <c r="P54" s="590">
        <f>(P53/S53)*100</f>
        <v>11.650965933701181</v>
      </c>
      <c r="Q54" s="590">
        <f>(Q53/S53)*100</f>
        <v>95.298487579576602</v>
      </c>
      <c r="R54" s="590">
        <f>(R53/S53)*100</f>
        <v>4.7015124204234064</v>
      </c>
      <c r="S54" s="590">
        <f>(S53/S53)*100</f>
        <v>100</v>
      </c>
      <c r="T54" s="591"/>
      <c r="U54" s="591"/>
      <c r="V54" s="544"/>
    </row>
    <row r="55" spans="1:27" ht="10.5" customHeight="1">
      <c r="A55" s="1040" t="s">
        <v>2729</v>
      </c>
      <c r="B55" s="1193">
        <v>176500</v>
      </c>
      <c r="C55" s="1193">
        <v>47581</v>
      </c>
      <c r="D55" s="1193">
        <v>23876</v>
      </c>
      <c r="E55" s="1193">
        <v>254483</v>
      </c>
      <c r="F55" s="1193">
        <v>19868</v>
      </c>
      <c r="G55" s="1193">
        <v>108484</v>
      </c>
      <c r="H55" s="1193">
        <v>192585</v>
      </c>
      <c r="I55" s="1193">
        <v>14928</v>
      </c>
      <c r="J55" s="1193">
        <v>150025</v>
      </c>
      <c r="K55" s="1193">
        <v>55761</v>
      </c>
      <c r="L55" s="1193">
        <v>106061</v>
      </c>
      <c r="M55" s="1193">
        <v>50674</v>
      </c>
      <c r="N55" s="1193">
        <v>37624</v>
      </c>
      <c r="O55" s="1193">
        <v>30135</v>
      </c>
      <c r="P55" s="1193">
        <v>176402</v>
      </c>
      <c r="Q55" s="1194">
        <f>SUM(B55:P55)</f>
        <v>1444987</v>
      </c>
      <c r="R55" s="1193">
        <v>70815</v>
      </c>
      <c r="S55" s="1193">
        <f>Q55+R55</f>
        <v>1515802</v>
      </c>
      <c r="T55" s="1193">
        <v>98402</v>
      </c>
      <c r="U55" s="1193">
        <f>S55+T55</f>
        <v>1614204</v>
      </c>
      <c r="V55" s="1041" t="s">
        <v>2729</v>
      </c>
    </row>
    <row r="56" spans="1:27" ht="10.5" customHeight="1">
      <c r="A56" s="543"/>
      <c r="B56" s="1401">
        <f>(B55/S55)*100</f>
        <v>11.644000997491757</v>
      </c>
      <c r="C56" s="1401">
        <f>(C55/S55)*100</f>
        <v>3.1389983652218429</v>
      </c>
      <c r="D56" s="1401">
        <f>(D55/S55)*100</f>
        <v>1.5751397609978086</v>
      </c>
      <c r="E56" s="1401">
        <f>(E55/S55)*100</f>
        <v>16.788670288071923</v>
      </c>
      <c r="F56" s="1401">
        <f>(F55/S55)*100</f>
        <v>1.3107252794230382</v>
      </c>
      <c r="G56" s="1401">
        <f>(G55/S55)*100</f>
        <v>7.1568714119654153</v>
      </c>
      <c r="H56" s="1401">
        <f>(H55/S55)*100</f>
        <v>12.705155422673938</v>
      </c>
      <c r="I56" s="1401">
        <f>(I55/S55)*100</f>
        <v>0.9848251948473481</v>
      </c>
      <c r="J56" s="1401">
        <f>(J55/S55)*100</f>
        <v>9.8974008478679938</v>
      </c>
      <c r="K56" s="1401">
        <f>(K55/S55)*100</f>
        <v>3.6786466834058804</v>
      </c>
      <c r="L56" s="1401">
        <f>(L55/S55)*100</f>
        <v>6.9970220384984323</v>
      </c>
      <c r="M56" s="1401">
        <f>(M55/S55)*100</f>
        <v>3.3430487623053673</v>
      </c>
      <c r="N56" s="1401">
        <f>(N55/S55)*100</f>
        <v>2.4821183769384128</v>
      </c>
      <c r="O56" s="1401">
        <f>(O55/S55)*100</f>
        <v>1.9880564875887483</v>
      </c>
      <c r="P56" s="1401">
        <f>(P55/S55)*100</f>
        <v>11.637535773141874</v>
      </c>
      <c r="Q56" s="1401">
        <f>(Q55/S55)*100</f>
        <v>95.328215690439777</v>
      </c>
      <c r="R56" s="1401">
        <f>(R55/S55)*100</f>
        <v>4.6717843095602198</v>
      </c>
      <c r="S56" s="1401">
        <f>(S55/S55)*100</f>
        <v>100</v>
      </c>
      <c r="T56" s="591"/>
      <c r="U56" s="591"/>
      <c r="V56" s="544"/>
    </row>
    <row r="57" spans="1:27" ht="10.5" customHeight="1">
      <c r="A57" s="1040" t="s">
        <v>2905</v>
      </c>
      <c r="B57" s="1193">
        <v>190315</v>
      </c>
      <c r="C57" s="1193">
        <v>53076</v>
      </c>
      <c r="D57" s="1193">
        <v>28578</v>
      </c>
      <c r="E57" s="1193">
        <v>295111</v>
      </c>
      <c r="F57" s="1193">
        <v>23829</v>
      </c>
      <c r="G57" s="1193">
        <v>126353</v>
      </c>
      <c r="H57" s="1193">
        <v>214257</v>
      </c>
      <c r="I57" s="1193">
        <v>17058</v>
      </c>
      <c r="J57" s="1193">
        <v>169165</v>
      </c>
      <c r="K57" s="1193">
        <v>63601</v>
      </c>
      <c r="L57" s="1193">
        <v>123740</v>
      </c>
      <c r="M57" s="1193">
        <v>66711</v>
      </c>
      <c r="N57" s="1193">
        <v>46512</v>
      </c>
      <c r="O57" s="1193">
        <v>34758</v>
      </c>
      <c r="P57" s="1193">
        <v>194248</v>
      </c>
      <c r="Q57" s="1194">
        <f>SUM(B57:P57)</f>
        <v>1647312</v>
      </c>
      <c r="R57" s="1193">
        <v>85552</v>
      </c>
      <c r="S57" s="1193">
        <f>Q57+R57</f>
        <v>1732864</v>
      </c>
      <c r="T57" s="1193">
        <v>99811</v>
      </c>
      <c r="U57" s="1193">
        <f>S57+T57</f>
        <v>1832675</v>
      </c>
      <c r="V57" s="1041" t="s">
        <v>2905</v>
      </c>
    </row>
    <row r="58" spans="1:27" ht="10.5" customHeight="1" thickBot="1">
      <c r="A58" s="644"/>
      <c r="B58" s="1195">
        <f>(B57/S57)*100</f>
        <v>10.982685311715173</v>
      </c>
      <c r="C58" s="1195">
        <f>(C57/S57)*100</f>
        <v>3.0629062638499041</v>
      </c>
      <c r="D58" s="1195">
        <f>(D57/S57)*100</f>
        <v>1.6491773157039444</v>
      </c>
      <c r="E58" s="1195">
        <f>(E57/S57)*100</f>
        <v>17.030245881961886</v>
      </c>
      <c r="F58" s="1195">
        <f>(F57/S57)*100</f>
        <v>1.375122340818437</v>
      </c>
      <c r="G58" s="1195">
        <f>(G57/S57)*100</f>
        <v>7.2915704867779585</v>
      </c>
      <c r="H58" s="1195">
        <f>(H57/S57)*100</f>
        <v>12.364328648988034</v>
      </c>
      <c r="I58" s="1195">
        <f>(I57/S57)*100</f>
        <v>0.98438192495198706</v>
      </c>
      <c r="J58" s="1195">
        <f>(J57/S57)*100</f>
        <v>9.7621625240065004</v>
      </c>
      <c r="K58" s="1195">
        <f>(K57/S57)*100</f>
        <v>3.6702822610429906</v>
      </c>
      <c r="L58" s="1195">
        <f>(L57/S57)*100</f>
        <v>7.1407796572610422</v>
      </c>
      <c r="M58" s="1195">
        <f>(M57/S57)*100</f>
        <v>3.8497539333727286</v>
      </c>
      <c r="N58" s="1195">
        <f>(N57/S57)*100</f>
        <v>2.6841113901610281</v>
      </c>
      <c r="O58" s="1195">
        <f>(O57/S57)*100</f>
        <v>2.0058123430344215</v>
      </c>
      <c r="P58" s="1195">
        <f>(P57/S57)*100</f>
        <v>11.209650613089082</v>
      </c>
      <c r="Q58" s="1195">
        <f>(Q57/S57)*100</f>
        <v>95.062970896735109</v>
      </c>
      <c r="R58" s="1195">
        <f>(R57/S57)*100</f>
        <v>4.9370291032648836</v>
      </c>
      <c r="S58" s="1195">
        <f>(S57/S57)*100</f>
        <v>100</v>
      </c>
      <c r="T58" s="650"/>
      <c r="U58" s="650"/>
      <c r="V58" s="1039"/>
    </row>
    <row r="59" spans="1:27" ht="12.75" customHeight="1">
      <c r="A59" s="124" t="s">
        <v>798</v>
      </c>
      <c r="B59" s="2003" t="s">
        <v>796</v>
      </c>
      <c r="C59" s="2003"/>
      <c r="D59" s="2003"/>
      <c r="E59" s="2003"/>
      <c r="F59" s="2003"/>
      <c r="G59" s="2003"/>
      <c r="H59" s="2003"/>
      <c r="I59" s="2003"/>
      <c r="J59" s="2003"/>
      <c r="K59" s="2003"/>
      <c r="L59" s="152" t="s">
        <v>797</v>
      </c>
      <c r="M59" s="2011" t="s">
        <v>795</v>
      </c>
      <c r="N59" s="2011"/>
      <c r="O59" s="2011"/>
      <c r="P59" s="2011"/>
      <c r="Q59" s="2011"/>
      <c r="R59" s="2011"/>
      <c r="S59" s="2011"/>
      <c r="T59" s="2011"/>
      <c r="U59" s="2011"/>
      <c r="V59" s="2011"/>
      <c r="W59" s="114"/>
      <c r="X59" s="114"/>
      <c r="Y59" s="114"/>
      <c r="Z59" s="114"/>
      <c r="AA59" s="114"/>
    </row>
    <row r="60" spans="1:27" ht="12.75" customHeight="1">
      <c r="B60" s="2011" t="s">
        <v>2906</v>
      </c>
      <c r="C60" s="2011"/>
      <c r="D60" s="2011"/>
      <c r="E60" s="2011"/>
      <c r="F60" s="2011"/>
      <c r="G60" s="2011"/>
      <c r="H60" s="2011"/>
      <c r="I60" s="132"/>
      <c r="J60" s="143"/>
      <c r="K60" s="143"/>
      <c r="L60" s="90"/>
      <c r="M60" s="2012"/>
      <c r="N60" s="2012"/>
      <c r="O60" s="2012"/>
      <c r="W60" s="114"/>
      <c r="X60" s="1374"/>
      <c r="Y60" s="114"/>
      <c r="Z60" s="114"/>
      <c r="AA60" s="114"/>
    </row>
    <row r="61" spans="1:27">
      <c r="W61" s="114"/>
      <c r="X61" s="1374"/>
      <c r="Y61" s="114"/>
      <c r="Z61" s="114"/>
      <c r="AA61" s="114"/>
    </row>
    <row r="62" spans="1:27">
      <c r="W62" s="114"/>
      <c r="X62" s="1375"/>
      <c r="Y62" s="114"/>
      <c r="Z62" s="114"/>
      <c r="AA62" s="114"/>
    </row>
    <row r="63" spans="1:27">
      <c r="J63" s="1373"/>
      <c r="W63" s="114"/>
      <c r="X63" s="1374"/>
      <c r="Y63" s="114"/>
      <c r="Z63" s="114"/>
      <c r="AA63" s="114"/>
    </row>
    <row r="64" spans="1:27">
      <c r="W64" s="114"/>
      <c r="X64" s="114"/>
      <c r="Y64" s="114"/>
      <c r="Z64" s="114"/>
      <c r="AA64" s="114"/>
    </row>
    <row r="65" spans="8:24">
      <c r="W65" s="114"/>
      <c r="X65" s="114"/>
    </row>
    <row r="66" spans="8:24">
      <c r="W66" s="114"/>
      <c r="X66" s="114"/>
    </row>
    <row r="67" spans="8:24">
      <c r="H67" s="1038"/>
      <c r="W67" s="114"/>
      <c r="X67" s="114"/>
    </row>
    <row r="68" spans="8:24">
      <c r="H68" s="1035"/>
      <c r="W68" s="114"/>
      <c r="X68" s="114"/>
    </row>
    <row r="69" spans="8:24">
      <c r="H69" s="1035"/>
      <c r="W69" s="114"/>
      <c r="X69" s="114"/>
    </row>
    <row r="70" spans="8:24">
      <c r="H70" s="1035"/>
      <c r="W70" s="114"/>
      <c r="X70" s="114"/>
    </row>
    <row r="71" spans="8:24">
      <c r="H71" s="1036"/>
      <c r="W71" s="114"/>
      <c r="X71" s="114"/>
    </row>
    <row r="72" spans="8:24">
      <c r="H72" s="1036"/>
      <c r="W72" s="114"/>
      <c r="X72" s="114"/>
    </row>
    <row r="73" spans="8:24">
      <c r="H73" s="1037"/>
    </row>
    <row r="74" spans="8:24">
      <c r="H74" s="1037"/>
    </row>
    <row r="75" spans="8:24">
      <c r="H75" s="1036"/>
    </row>
    <row r="76" spans="8:24">
      <c r="H76" s="1036"/>
    </row>
    <row r="77" spans="8:24">
      <c r="H77" s="1036"/>
    </row>
    <row r="78" spans="8:24">
      <c r="H78" s="1036"/>
    </row>
    <row r="79" spans="8:24">
      <c r="H79" s="1036"/>
    </row>
    <row r="80" spans="8:24">
      <c r="H80" s="1036"/>
    </row>
    <row r="81" spans="8:8">
      <c r="H81" s="1037"/>
    </row>
  </sheetData>
  <mergeCells count="10">
    <mergeCell ref="B60:H60"/>
    <mergeCell ref="M60:O60"/>
    <mergeCell ref="A1:K1"/>
    <mergeCell ref="U1:V1"/>
    <mergeCell ref="U2:V2"/>
    <mergeCell ref="L1:T1"/>
    <mergeCell ref="M59:V59"/>
    <mergeCell ref="B59:K59"/>
    <mergeCell ref="A3:A4"/>
    <mergeCell ref="V3:V4"/>
  </mergeCells>
  <phoneticPr fontId="47" type="noConversion"/>
  <pageMargins left="0.62992125984252001" right="0.511811023622047" top="0.31496062992126" bottom="0.31496062992126" header="0.25" footer="0"/>
  <pageSetup paperSize="512" firstPageNumber="46" orientation="portrait" useFirstPageNumber="1" r:id="rId1"/>
  <headerFooter>
    <oddFooter>&amp;C&amp;"Times New Roman,Regular"&amp;8&amp;P</oddFooter>
  </headerFooter>
  <ignoredErrors>
    <ignoredError sqref="B25:P34 T25:T34" numberStoredAsText="1"/>
    <ignoredError sqref="S25:S34 Q25:R34 R5" numberStoredAsText="1" formula="1"/>
    <ignoredError sqref="Q45:Q52 Q6:R24 Q5 S45:S53 S35:S36 Q35:Q36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>
  <dimension ref="A1:W60"/>
  <sheetViews>
    <sheetView topLeftCell="F1" zoomScaleNormal="100" workbookViewId="0">
      <pane ySplit="4" topLeftCell="A41" activePane="bottomLeft" state="frozen"/>
      <selection pane="bottomLeft" activeCell="J63" sqref="J63"/>
    </sheetView>
  </sheetViews>
  <sheetFormatPr defaultColWidth="9.140625" defaultRowHeight="11.25"/>
  <cols>
    <col min="1" max="1" width="8.28515625" style="10" customWidth="1"/>
    <col min="2" max="2" width="6.5703125" style="10" customWidth="1"/>
    <col min="3" max="3" width="6.7109375" style="10" customWidth="1"/>
    <col min="4" max="4" width="7.140625" style="10" customWidth="1"/>
    <col min="5" max="5" width="7.28515625" style="10" customWidth="1"/>
    <col min="6" max="6" width="6.7109375" style="10" customWidth="1"/>
    <col min="7" max="7" width="7" style="10" customWidth="1"/>
    <col min="8" max="9" width="6.7109375" style="10" customWidth="1"/>
    <col min="10" max="10" width="8.140625" style="10" customWidth="1"/>
    <col min="11" max="11" width="6.28515625" style="10" customWidth="1"/>
    <col min="12" max="12" width="7.7109375" style="10" customWidth="1"/>
    <col min="13" max="13" width="6.85546875" style="10" customWidth="1"/>
    <col min="14" max="14" width="6.42578125" style="10" customWidth="1"/>
    <col min="15" max="15" width="6.5703125" style="10" customWidth="1"/>
    <col min="16" max="16" width="7.28515625" style="10" customWidth="1"/>
    <col min="17" max="17" width="7" style="10" customWidth="1"/>
    <col min="18" max="18" width="6.7109375" style="10" customWidth="1"/>
    <col min="19" max="19" width="7.7109375" style="10" customWidth="1"/>
    <col min="20" max="20" width="7.140625" style="10" customWidth="1"/>
    <col min="21" max="21" width="7.42578125" style="10" customWidth="1"/>
    <col min="22" max="22" width="8.42578125" style="10" customWidth="1"/>
    <col min="23" max="16384" width="9.140625" style="10"/>
  </cols>
  <sheetData>
    <row r="1" spans="1:23" s="34" customFormat="1" ht="15.75" customHeight="1">
      <c r="A1" s="1972" t="s">
        <v>38</v>
      </c>
      <c r="B1" s="1972"/>
      <c r="C1" s="1972"/>
      <c r="D1" s="1972"/>
      <c r="E1" s="1972"/>
      <c r="F1" s="1972"/>
      <c r="G1" s="1972"/>
      <c r="H1" s="1972"/>
      <c r="I1" s="1972"/>
      <c r="J1" s="1972"/>
      <c r="K1" s="1972"/>
      <c r="L1" s="1999" t="s">
        <v>790</v>
      </c>
      <c r="M1" s="1999"/>
      <c r="N1" s="1999"/>
      <c r="O1" s="1999"/>
      <c r="P1" s="1999"/>
      <c r="Q1" s="1999"/>
      <c r="R1" s="1999"/>
      <c r="S1" s="1999"/>
      <c r="T1" s="1999"/>
      <c r="U1" s="1973" t="s">
        <v>2447</v>
      </c>
      <c r="V1" s="1973"/>
      <c r="W1" s="81"/>
    </row>
    <row r="2" spans="1:23" s="150" customFormat="1" ht="11.25" customHeight="1">
      <c r="A2" s="151"/>
      <c r="B2" s="151"/>
      <c r="E2" s="151"/>
      <c r="F2" s="151"/>
      <c r="G2" s="151"/>
      <c r="H2" s="151"/>
      <c r="I2" s="151"/>
      <c r="J2" s="2015" t="s">
        <v>370</v>
      </c>
      <c r="K2" s="2015"/>
      <c r="L2" s="153" t="s">
        <v>886</v>
      </c>
      <c r="U2" s="2015" t="s">
        <v>816</v>
      </c>
      <c r="V2" s="2015"/>
    </row>
    <row r="3" spans="1:23" s="58" customFormat="1" ht="70.5" customHeight="1">
      <c r="A3" s="1975" t="s">
        <v>1132</v>
      </c>
      <c r="B3" s="29" t="s">
        <v>778</v>
      </c>
      <c r="C3" s="29" t="s">
        <v>1155</v>
      </c>
      <c r="D3" s="29" t="s">
        <v>782</v>
      </c>
      <c r="E3" s="29" t="s">
        <v>779</v>
      </c>
      <c r="F3" s="29" t="s">
        <v>793</v>
      </c>
      <c r="G3" s="29" t="s">
        <v>780</v>
      </c>
      <c r="H3" s="29" t="s">
        <v>792</v>
      </c>
      <c r="I3" s="29" t="s">
        <v>781</v>
      </c>
      <c r="J3" s="29" t="s">
        <v>783</v>
      </c>
      <c r="K3" s="29" t="s">
        <v>784</v>
      </c>
      <c r="L3" s="29" t="s">
        <v>785</v>
      </c>
      <c r="M3" s="29" t="s">
        <v>788</v>
      </c>
      <c r="N3" s="29" t="s">
        <v>786</v>
      </c>
      <c r="O3" s="29" t="s">
        <v>789</v>
      </c>
      <c r="P3" s="29" t="s">
        <v>787</v>
      </c>
      <c r="Q3" s="29" t="s">
        <v>1369</v>
      </c>
      <c r="R3" s="29" t="s">
        <v>776</v>
      </c>
      <c r="S3" s="29" t="s">
        <v>1370</v>
      </c>
      <c r="T3" s="29" t="s">
        <v>777</v>
      </c>
      <c r="U3" s="142" t="s">
        <v>1368</v>
      </c>
      <c r="V3" s="1975" t="s">
        <v>1132</v>
      </c>
    </row>
    <row r="4" spans="1:23" s="75" customFormat="1" ht="9.75" customHeight="1">
      <c r="A4" s="1977"/>
      <c r="B4" s="1402">
        <v>1</v>
      </c>
      <c r="C4" s="1402">
        <v>2</v>
      </c>
      <c r="D4" s="1402">
        <v>3</v>
      </c>
      <c r="E4" s="1402">
        <v>4</v>
      </c>
      <c r="F4" s="1402">
        <v>5</v>
      </c>
      <c r="G4" s="1402">
        <v>6</v>
      </c>
      <c r="H4" s="1402">
        <v>7</v>
      </c>
      <c r="I4" s="1402">
        <v>8</v>
      </c>
      <c r="J4" s="1402">
        <v>9</v>
      </c>
      <c r="K4" s="1402">
        <v>10</v>
      </c>
      <c r="L4" s="1402">
        <v>11</v>
      </c>
      <c r="M4" s="1402">
        <v>12</v>
      </c>
      <c r="N4" s="1402">
        <v>13</v>
      </c>
      <c r="O4" s="1402">
        <v>14</v>
      </c>
      <c r="P4" s="1402">
        <v>15</v>
      </c>
      <c r="Q4" s="1402">
        <v>16</v>
      </c>
      <c r="R4" s="1402">
        <v>17</v>
      </c>
      <c r="S4" s="1402">
        <v>18</v>
      </c>
      <c r="T4" s="1402">
        <v>19</v>
      </c>
      <c r="U4" s="1402">
        <v>20</v>
      </c>
      <c r="V4" s="1977"/>
    </row>
    <row r="5" spans="1:23" ht="9.75" customHeight="1">
      <c r="A5" s="8" t="s">
        <v>1197</v>
      </c>
      <c r="B5" s="37">
        <v>34246</v>
      </c>
      <c r="C5" s="37">
        <v>9200</v>
      </c>
      <c r="D5" s="37">
        <v>1729</v>
      </c>
      <c r="E5" s="37">
        <v>25880</v>
      </c>
      <c r="F5" s="37">
        <v>2447</v>
      </c>
      <c r="G5" s="37">
        <v>11950</v>
      </c>
      <c r="H5" s="37">
        <v>21737</v>
      </c>
      <c r="I5" s="37">
        <v>1027</v>
      </c>
      <c r="J5" s="37">
        <v>15280</v>
      </c>
      <c r="K5" s="37">
        <v>2646</v>
      </c>
      <c r="L5" s="37">
        <v>15638</v>
      </c>
      <c r="M5" s="37">
        <v>4237</v>
      </c>
      <c r="N5" s="37">
        <v>3462</v>
      </c>
      <c r="O5" s="37">
        <v>3781</v>
      </c>
      <c r="P5" s="37">
        <v>14693</v>
      </c>
      <c r="Q5" s="37">
        <f>SUM(B5:P5)</f>
        <v>167953</v>
      </c>
      <c r="R5" s="37">
        <v>7332</v>
      </c>
      <c r="S5" s="37">
        <f>Q5+R5</f>
        <v>175285</v>
      </c>
      <c r="T5" s="37">
        <v>5671</v>
      </c>
      <c r="U5" s="37">
        <f>S5+T5</f>
        <v>180956</v>
      </c>
      <c r="V5" s="53" t="s">
        <v>1197</v>
      </c>
    </row>
    <row r="6" spans="1:23" ht="9.6" customHeight="1">
      <c r="A6" s="556"/>
      <c r="B6" s="590">
        <f t="shared" ref="B6:S6" si="0">(B5/$S5)*100</f>
        <v>19.537324927974442</v>
      </c>
      <c r="C6" s="590">
        <f t="shared" si="0"/>
        <v>5.2485951450494905</v>
      </c>
      <c r="D6" s="590">
        <f t="shared" si="0"/>
        <v>0.98639358758593143</v>
      </c>
      <c r="E6" s="590">
        <f t="shared" si="0"/>
        <v>14.764526342813134</v>
      </c>
      <c r="F6" s="590">
        <f t="shared" si="0"/>
        <v>1.3960122086887068</v>
      </c>
      <c r="G6" s="590">
        <f t="shared" si="0"/>
        <v>6.8174686938414579</v>
      </c>
      <c r="H6" s="590">
        <f t="shared" si="0"/>
        <v>12.400947029123998</v>
      </c>
      <c r="I6" s="590">
        <f t="shared" si="0"/>
        <v>0.58590295803976378</v>
      </c>
      <c r="J6" s="590">
        <f t="shared" si="0"/>
        <v>8.7172319365604594</v>
      </c>
      <c r="K6" s="590">
        <f t="shared" si="0"/>
        <v>1.5095416036740166</v>
      </c>
      <c r="L6" s="590">
        <f t="shared" si="0"/>
        <v>8.9214707476395585</v>
      </c>
      <c r="M6" s="590">
        <f t="shared" si="0"/>
        <v>2.4172062640842058</v>
      </c>
      <c r="N6" s="590">
        <f t="shared" si="0"/>
        <v>1.975069173061015</v>
      </c>
      <c r="O6" s="590">
        <f t="shared" si="0"/>
        <v>2.157058504720883</v>
      </c>
      <c r="P6" s="590">
        <f t="shared" si="0"/>
        <v>8.3823487463274109</v>
      </c>
      <c r="Q6" s="590">
        <f t="shared" si="0"/>
        <v>95.817097869184479</v>
      </c>
      <c r="R6" s="590">
        <f t="shared" si="0"/>
        <v>4.1829021308155285</v>
      </c>
      <c r="S6" s="590">
        <f t="shared" si="0"/>
        <v>100</v>
      </c>
      <c r="T6" s="534"/>
      <c r="U6" s="534"/>
      <c r="V6" s="544"/>
    </row>
    <row r="7" spans="1:23" ht="9.6" customHeight="1">
      <c r="A7" s="8" t="s">
        <v>1198</v>
      </c>
      <c r="B7" s="37">
        <v>34808</v>
      </c>
      <c r="C7" s="37">
        <v>10026</v>
      </c>
      <c r="D7" s="37">
        <v>1828</v>
      </c>
      <c r="E7" s="37">
        <v>28091</v>
      </c>
      <c r="F7" s="37">
        <v>2497</v>
      </c>
      <c r="G7" s="37">
        <v>13083</v>
      </c>
      <c r="H7" s="37">
        <v>23038</v>
      </c>
      <c r="I7" s="37">
        <v>1094</v>
      </c>
      <c r="J7" s="37">
        <v>16149</v>
      </c>
      <c r="K7" s="37">
        <v>2786</v>
      </c>
      <c r="L7" s="37">
        <v>16233</v>
      </c>
      <c r="M7" s="37">
        <v>4487</v>
      </c>
      <c r="N7" s="37">
        <v>3742</v>
      </c>
      <c r="O7" s="37">
        <v>3954</v>
      </c>
      <c r="P7" s="37">
        <v>15112</v>
      </c>
      <c r="Q7" s="37">
        <f>SUM(B7:P7)</f>
        <v>176928</v>
      </c>
      <c r="R7" s="37">
        <v>7520</v>
      </c>
      <c r="S7" s="37">
        <f>Q7+R7</f>
        <v>184448</v>
      </c>
      <c r="T7" s="37">
        <v>5987</v>
      </c>
      <c r="U7" s="37">
        <f>S7+T7</f>
        <v>190435</v>
      </c>
      <c r="V7" s="53" t="s">
        <v>1198</v>
      </c>
    </row>
    <row r="8" spans="1:23" ht="9.6" customHeight="1">
      <c r="A8" s="556"/>
      <c r="B8" s="590">
        <f t="shared" ref="B8:S8" si="1">(B7/$S7)*100</f>
        <v>18.871443442054129</v>
      </c>
      <c r="C8" s="590">
        <f t="shared" si="1"/>
        <v>5.4356783483691888</v>
      </c>
      <c r="D8" s="590">
        <f t="shared" si="1"/>
        <v>0.99106523247744616</v>
      </c>
      <c r="E8" s="590">
        <f t="shared" si="1"/>
        <v>15.229766655100624</v>
      </c>
      <c r="F8" s="590">
        <f t="shared" si="1"/>
        <v>1.3537690839694658</v>
      </c>
      <c r="G8" s="590">
        <f t="shared" si="1"/>
        <v>7.0930560374739766</v>
      </c>
      <c r="H8" s="590">
        <f t="shared" si="1"/>
        <v>12.490241151977793</v>
      </c>
      <c r="I8" s="590">
        <f t="shared" si="1"/>
        <v>0.59312109646079114</v>
      </c>
      <c r="J8" s="590">
        <f t="shared" si="1"/>
        <v>8.7553131505898669</v>
      </c>
      <c r="K8" s="590">
        <f t="shared" si="1"/>
        <v>1.5104528105482304</v>
      </c>
      <c r="L8" s="590">
        <f t="shared" si="1"/>
        <v>8.8008544413601655</v>
      </c>
      <c r="M8" s="590">
        <f t="shared" si="1"/>
        <v>2.4326639486467729</v>
      </c>
      <c r="N8" s="590">
        <f t="shared" si="1"/>
        <v>2.0287560721721025</v>
      </c>
      <c r="O8" s="590">
        <f t="shared" si="1"/>
        <v>2.1436936155447608</v>
      </c>
      <c r="P8" s="590">
        <f t="shared" si="1"/>
        <v>8.1930950728660648</v>
      </c>
      <c r="Q8" s="590">
        <f t="shared" si="1"/>
        <v>95.922970159611381</v>
      </c>
      <c r="R8" s="590">
        <f t="shared" si="1"/>
        <v>4.0770298403886196</v>
      </c>
      <c r="S8" s="590">
        <f t="shared" si="1"/>
        <v>100</v>
      </c>
      <c r="T8" s="534"/>
      <c r="U8" s="534"/>
      <c r="V8" s="544"/>
    </row>
    <row r="9" spans="1:23" ht="9.6" customHeight="1">
      <c r="A9" s="8" t="s">
        <v>1199</v>
      </c>
      <c r="B9" s="37">
        <v>35937</v>
      </c>
      <c r="C9" s="37">
        <v>11024</v>
      </c>
      <c r="D9" s="37">
        <v>1852</v>
      </c>
      <c r="E9" s="37">
        <v>28988</v>
      </c>
      <c r="F9" s="37">
        <v>2646</v>
      </c>
      <c r="G9" s="37">
        <v>14250</v>
      </c>
      <c r="H9" s="37">
        <v>24538</v>
      </c>
      <c r="I9" s="37">
        <v>1166</v>
      </c>
      <c r="J9" s="37">
        <v>17102</v>
      </c>
      <c r="K9" s="37">
        <v>2937</v>
      </c>
      <c r="L9" s="37">
        <v>16853</v>
      </c>
      <c r="M9" s="37">
        <v>4743</v>
      </c>
      <c r="N9" s="37">
        <v>4030</v>
      </c>
      <c r="O9" s="37">
        <v>4136</v>
      </c>
      <c r="P9" s="37">
        <v>15558</v>
      </c>
      <c r="Q9" s="37">
        <f>SUM(B9:P9)</f>
        <v>185760</v>
      </c>
      <c r="R9" s="37">
        <v>7669</v>
      </c>
      <c r="S9" s="37">
        <f>Q9+R9</f>
        <v>193429</v>
      </c>
      <c r="T9" s="37">
        <v>6650</v>
      </c>
      <c r="U9" s="37">
        <f>S9+T9</f>
        <v>200079</v>
      </c>
      <c r="V9" s="53" t="s">
        <v>1199</v>
      </c>
    </row>
    <row r="10" spans="1:23" ht="9.6" customHeight="1">
      <c r="A10" s="556"/>
      <c r="B10" s="590">
        <f t="shared" ref="B10:S10" si="2">(B9/$S9)*100</f>
        <v>18.578910091041156</v>
      </c>
      <c r="C10" s="590">
        <f t="shared" si="2"/>
        <v>5.6992488199804576</v>
      </c>
      <c r="D10" s="590">
        <f t="shared" si="2"/>
        <v>0.95745725821877792</v>
      </c>
      <c r="E10" s="590">
        <f t="shared" si="2"/>
        <v>14.986377430478367</v>
      </c>
      <c r="F10" s="590">
        <f t="shared" si="2"/>
        <v>1.3679437933298522</v>
      </c>
      <c r="G10" s="590">
        <f t="shared" si="2"/>
        <v>7.3670442384544206</v>
      </c>
      <c r="H10" s="590">
        <f t="shared" si="2"/>
        <v>12.685791685838216</v>
      </c>
      <c r="I10" s="590">
        <f t="shared" si="2"/>
        <v>0.60280516365177916</v>
      </c>
      <c r="J10" s="590">
        <f t="shared" si="2"/>
        <v>8.841487057266491</v>
      </c>
      <c r="K10" s="590">
        <f t="shared" si="2"/>
        <v>1.5183865914625003</v>
      </c>
      <c r="L10" s="590">
        <f t="shared" si="2"/>
        <v>8.7127576526787607</v>
      </c>
      <c r="M10" s="590">
        <f t="shared" si="2"/>
        <v>2.4520625138939871</v>
      </c>
      <c r="N10" s="590">
        <f t="shared" si="2"/>
        <v>2.0834518091909691</v>
      </c>
      <c r="O10" s="590">
        <f t="shared" si="2"/>
        <v>2.1382522786138582</v>
      </c>
      <c r="P10" s="590">
        <f t="shared" si="2"/>
        <v>8.0432613517104468</v>
      </c>
      <c r="Q10" s="590">
        <f t="shared" si="2"/>
        <v>96.035237735810043</v>
      </c>
      <c r="R10" s="590">
        <f t="shared" si="2"/>
        <v>3.9647622641899609</v>
      </c>
      <c r="S10" s="590">
        <f t="shared" si="2"/>
        <v>100</v>
      </c>
      <c r="T10" s="534"/>
      <c r="U10" s="534"/>
      <c r="V10" s="544"/>
    </row>
    <row r="11" spans="1:23" ht="9.6" customHeight="1">
      <c r="A11" s="8" t="s">
        <v>1200</v>
      </c>
      <c r="B11" s="37">
        <v>38425</v>
      </c>
      <c r="C11" s="37">
        <v>12002</v>
      </c>
      <c r="D11" s="37">
        <v>2028</v>
      </c>
      <c r="E11" s="37">
        <v>30368</v>
      </c>
      <c r="F11" s="37">
        <v>2826</v>
      </c>
      <c r="G11" s="37">
        <v>15459</v>
      </c>
      <c r="H11" s="37">
        <v>26328</v>
      </c>
      <c r="I11" s="37">
        <v>1247</v>
      </c>
      <c r="J11" s="37">
        <v>18142</v>
      </c>
      <c r="K11" s="37">
        <v>3098</v>
      </c>
      <c r="L11" s="37">
        <v>17499</v>
      </c>
      <c r="M11" s="37">
        <v>5026</v>
      </c>
      <c r="N11" s="37">
        <v>4342</v>
      </c>
      <c r="O11" s="37">
        <v>4335</v>
      </c>
      <c r="P11" s="37">
        <v>16033</v>
      </c>
      <c r="Q11" s="37">
        <f>SUM(B11:P11)</f>
        <v>197158</v>
      </c>
      <c r="R11" s="37">
        <v>7769</v>
      </c>
      <c r="S11" s="37">
        <f>Q11+R11</f>
        <v>204927</v>
      </c>
      <c r="T11" s="37">
        <v>7532</v>
      </c>
      <c r="U11" s="37">
        <f>S11+T11</f>
        <v>212459</v>
      </c>
      <c r="V11" s="53" t="s">
        <v>1200</v>
      </c>
    </row>
    <row r="12" spans="1:23" ht="9.6" customHeight="1">
      <c r="A12" s="556"/>
      <c r="B12" s="590">
        <f t="shared" ref="B12:S12" si="3">(B11/$S11)*100</f>
        <v>18.750579474642191</v>
      </c>
      <c r="C12" s="590">
        <f t="shared" si="3"/>
        <v>5.8567197099454926</v>
      </c>
      <c r="D12" s="590">
        <f t="shared" si="3"/>
        <v>0.98962069419842191</v>
      </c>
      <c r="E12" s="590">
        <f t="shared" si="3"/>
        <v>14.818935523381496</v>
      </c>
      <c r="F12" s="590">
        <f t="shared" si="3"/>
        <v>1.379027653749872</v>
      </c>
      <c r="G12" s="590">
        <f t="shared" si="3"/>
        <v>7.5436618893557208</v>
      </c>
      <c r="H12" s="590">
        <f t="shared" si="3"/>
        <v>12.847501793321525</v>
      </c>
      <c r="I12" s="590">
        <f t="shared" si="3"/>
        <v>0.60850937162989749</v>
      </c>
      <c r="J12" s="590">
        <f t="shared" si="3"/>
        <v>8.8529085967198071</v>
      </c>
      <c r="K12" s="590">
        <f t="shared" si="3"/>
        <v>1.511757845476682</v>
      </c>
      <c r="L12" s="590">
        <f t="shared" si="3"/>
        <v>8.539138327306798</v>
      </c>
      <c r="M12" s="590">
        <f t="shared" si="3"/>
        <v>2.452580675069659</v>
      </c>
      <c r="N12" s="590">
        <f t="shared" si="3"/>
        <v>2.1188032811684159</v>
      </c>
      <c r="O12" s="590">
        <f t="shared" si="3"/>
        <v>2.115387430646035</v>
      </c>
      <c r="P12" s="590">
        <f t="shared" si="3"/>
        <v>7.8237616321909762</v>
      </c>
      <c r="Q12" s="590">
        <f t="shared" si="3"/>
        <v>96.208893898802984</v>
      </c>
      <c r="R12" s="590">
        <f t="shared" si="3"/>
        <v>3.7911061011970117</v>
      </c>
      <c r="S12" s="590">
        <f t="shared" si="3"/>
        <v>100</v>
      </c>
      <c r="T12" s="534"/>
      <c r="U12" s="534"/>
      <c r="V12" s="544"/>
    </row>
    <row r="13" spans="1:23" ht="9.6" customHeight="1">
      <c r="A13" s="8" t="s">
        <v>1201</v>
      </c>
      <c r="B13" s="37">
        <v>40551</v>
      </c>
      <c r="C13" s="37">
        <v>11458</v>
      </c>
      <c r="D13" s="37">
        <v>2225</v>
      </c>
      <c r="E13" s="37">
        <v>32398</v>
      </c>
      <c r="F13" s="37">
        <v>3035</v>
      </c>
      <c r="G13" s="37">
        <v>16796</v>
      </c>
      <c r="H13" s="37">
        <v>28021</v>
      </c>
      <c r="I13" s="37">
        <v>1335</v>
      </c>
      <c r="J13" s="37">
        <v>19580</v>
      </c>
      <c r="K13" s="37">
        <v>3270</v>
      </c>
      <c r="L13" s="37">
        <v>18096</v>
      </c>
      <c r="M13" s="37">
        <v>5321</v>
      </c>
      <c r="N13" s="37">
        <v>4651</v>
      </c>
      <c r="O13" s="37">
        <v>4548</v>
      </c>
      <c r="P13" s="37">
        <v>16538</v>
      </c>
      <c r="Q13" s="37">
        <f>SUM(B13:P13)</f>
        <v>207823</v>
      </c>
      <c r="R13" s="37">
        <v>7913</v>
      </c>
      <c r="S13" s="37">
        <f>Q13+R13</f>
        <v>215736</v>
      </c>
      <c r="T13" s="37">
        <v>7523</v>
      </c>
      <c r="U13" s="37">
        <f>S13+T13</f>
        <v>223259</v>
      </c>
      <c r="V13" s="53" t="s">
        <v>1201</v>
      </c>
    </row>
    <row r="14" spans="1:23" ht="9.6" customHeight="1">
      <c r="A14" s="556"/>
      <c r="B14" s="590">
        <f t="shared" ref="B14:S14" si="4">(B13/$S13)*100</f>
        <v>18.796584714651239</v>
      </c>
      <c r="C14" s="590">
        <f t="shared" si="4"/>
        <v>5.3111209997404236</v>
      </c>
      <c r="D14" s="590">
        <f t="shared" si="4"/>
        <v>1.0313531353135312</v>
      </c>
      <c r="E14" s="590">
        <f t="shared" si="4"/>
        <v>15.017428709163049</v>
      </c>
      <c r="F14" s="590">
        <f t="shared" si="4"/>
        <v>1.4068120295175586</v>
      </c>
      <c r="G14" s="590">
        <f t="shared" si="4"/>
        <v>7.7854414654948645</v>
      </c>
      <c r="H14" s="590">
        <f t="shared" si="4"/>
        <v>12.988560091964253</v>
      </c>
      <c r="I14" s="590">
        <f t="shared" si="4"/>
        <v>0.61881188118811881</v>
      </c>
      <c r="J14" s="590">
        <f t="shared" si="4"/>
        <v>9.0759075907590763</v>
      </c>
      <c r="K14" s="590">
        <f t="shared" si="4"/>
        <v>1.5157414617866283</v>
      </c>
      <c r="L14" s="590">
        <f t="shared" si="4"/>
        <v>8.3880298142173757</v>
      </c>
      <c r="M14" s="590">
        <f t="shared" si="4"/>
        <v>2.4664404642711459</v>
      </c>
      <c r="N14" s="590">
        <f t="shared" si="4"/>
        <v>2.1558756999295436</v>
      </c>
      <c r="O14" s="590">
        <f t="shared" si="4"/>
        <v>2.1081321615307598</v>
      </c>
      <c r="P14" s="590">
        <f t="shared" si="4"/>
        <v>7.6658508547483963</v>
      </c>
      <c r="Q14" s="590">
        <f t="shared" si="4"/>
        <v>96.332091074275965</v>
      </c>
      <c r="R14" s="590">
        <f t="shared" si="4"/>
        <v>3.6679089257240332</v>
      </c>
      <c r="S14" s="590">
        <f t="shared" si="4"/>
        <v>100</v>
      </c>
      <c r="T14" s="534"/>
      <c r="U14" s="534"/>
      <c r="V14" s="544"/>
    </row>
    <row r="15" spans="1:23" ht="9.6" customHeight="1">
      <c r="A15" s="8" t="s">
        <v>1202</v>
      </c>
      <c r="B15" s="37">
        <v>40300</v>
      </c>
      <c r="C15" s="37">
        <v>11713</v>
      </c>
      <c r="D15" s="37">
        <v>2326</v>
      </c>
      <c r="E15" s="37">
        <v>34174</v>
      </c>
      <c r="F15" s="37">
        <v>3267</v>
      </c>
      <c r="G15" s="37">
        <v>18243</v>
      </c>
      <c r="H15" s="37">
        <v>29868</v>
      </c>
      <c r="I15" s="37">
        <v>1427</v>
      </c>
      <c r="J15" s="37">
        <v>20863</v>
      </c>
      <c r="K15" s="37">
        <v>3489</v>
      </c>
      <c r="L15" s="37">
        <v>18715</v>
      </c>
      <c r="M15" s="37">
        <v>5636</v>
      </c>
      <c r="N15" s="37">
        <v>5004</v>
      </c>
      <c r="O15" s="37">
        <v>4789</v>
      </c>
      <c r="P15" s="37">
        <v>17073</v>
      </c>
      <c r="Q15" s="37">
        <f>SUM(B15:P15)</f>
        <v>216887</v>
      </c>
      <c r="R15" s="37">
        <v>8374</v>
      </c>
      <c r="S15" s="37">
        <f>Q15+R15</f>
        <v>225261</v>
      </c>
      <c r="T15" s="37">
        <v>10342</v>
      </c>
      <c r="U15" s="37">
        <f>S15+T15</f>
        <v>235603</v>
      </c>
      <c r="V15" s="53" t="s">
        <v>1202</v>
      </c>
    </row>
    <row r="16" spans="1:23" ht="9.6" customHeight="1">
      <c r="A16" s="556"/>
      <c r="B16" s="590">
        <f t="shared" ref="B16:S16" si="5">(B15/$S15)*100</f>
        <v>17.890358295488344</v>
      </c>
      <c r="C16" s="590">
        <f t="shared" si="5"/>
        <v>5.1997460723338707</v>
      </c>
      <c r="D16" s="590">
        <f t="shared" si="5"/>
        <v>1.0325799849951833</v>
      </c>
      <c r="E16" s="590">
        <f t="shared" si="5"/>
        <v>15.170846262779619</v>
      </c>
      <c r="F16" s="590">
        <f t="shared" si="5"/>
        <v>1.4503176315474051</v>
      </c>
      <c r="G16" s="590">
        <f t="shared" si="5"/>
        <v>8.0986056174837184</v>
      </c>
      <c r="H16" s="590">
        <f t="shared" si="5"/>
        <v>13.259285895028434</v>
      </c>
      <c r="I16" s="590">
        <f t="shared" si="5"/>
        <v>0.63348737686505874</v>
      </c>
      <c r="J16" s="590">
        <f t="shared" si="5"/>
        <v>9.2617008714335807</v>
      </c>
      <c r="K16" s="590">
        <f t="shared" si="5"/>
        <v>1.548869977492775</v>
      </c>
      <c r="L16" s="590">
        <f t="shared" si="5"/>
        <v>8.30814033498919</v>
      </c>
      <c r="M16" s="590">
        <f t="shared" si="5"/>
        <v>2.5019865844509255</v>
      </c>
      <c r="N16" s="590">
        <f t="shared" si="5"/>
        <v>2.2214231491469896</v>
      </c>
      <c r="O16" s="590">
        <f t="shared" si="5"/>
        <v>2.1259783096053022</v>
      </c>
      <c r="P16" s="590">
        <f t="shared" si="5"/>
        <v>7.5792081185824447</v>
      </c>
      <c r="Q16" s="590">
        <f t="shared" si="5"/>
        <v>96.282534482222843</v>
      </c>
      <c r="R16" s="590">
        <f t="shared" si="5"/>
        <v>3.7174655177771561</v>
      </c>
      <c r="S16" s="590">
        <f t="shared" si="5"/>
        <v>100</v>
      </c>
      <c r="T16" s="534"/>
      <c r="U16" s="534"/>
      <c r="V16" s="544"/>
    </row>
    <row r="17" spans="1:22" ht="9.6" customHeight="1">
      <c r="A17" s="8" t="s">
        <v>1203</v>
      </c>
      <c r="B17" s="37">
        <v>41627</v>
      </c>
      <c r="C17" s="37">
        <v>11986</v>
      </c>
      <c r="D17" s="37">
        <v>2493</v>
      </c>
      <c r="E17" s="37">
        <v>36480</v>
      </c>
      <c r="F17" s="42">
        <v>3529</v>
      </c>
      <c r="G17" s="37">
        <v>19719</v>
      </c>
      <c r="H17" s="37">
        <v>31687</v>
      </c>
      <c r="I17" s="37">
        <v>1527</v>
      </c>
      <c r="J17" s="37">
        <v>22292</v>
      </c>
      <c r="K17" s="587">
        <v>3722</v>
      </c>
      <c r="L17" s="37">
        <v>19374</v>
      </c>
      <c r="M17" s="37">
        <v>5932</v>
      </c>
      <c r="N17" s="37">
        <v>5384</v>
      </c>
      <c r="O17" s="37">
        <v>5057</v>
      </c>
      <c r="P17" s="37">
        <v>17640</v>
      </c>
      <c r="Q17" s="587">
        <f>SUM(B17:P17)</f>
        <v>228449</v>
      </c>
      <c r="R17" s="37">
        <v>8652</v>
      </c>
      <c r="S17" s="37">
        <f>Q17+R17</f>
        <v>237101</v>
      </c>
      <c r="T17" s="37">
        <v>13081</v>
      </c>
      <c r="U17" s="37">
        <f>S17+T17</f>
        <v>250182</v>
      </c>
      <c r="V17" s="53" t="s">
        <v>1203</v>
      </c>
    </row>
    <row r="18" spans="1:22" ht="9.6" customHeight="1">
      <c r="A18" s="556"/>
      <c r="B18" s="590">
        <f t="shared" ref="B18:S18" si="6">(B17/$S17)*100</f>
        <v>17.556653071897628</v>
      </c>
      <c r="C18" s="590">
        <f t="shared" si="6"/>
        <v>5.0552296278801023</v>
      </c>
      <c r="D18" s="590">
        <f t="shared" si="6"/>
        <v>1.0514506476143077</v>
      </c>
      <c r="E18" s="590">
        <f t="shared" si="6"/>
        <v>15.385848225018032</v>
      </c>
      <c r="F18" s="590">
        <f t="shared" si="6"/>
        <v>1.4883952408467278</v>
      </c>
      <c r="G18" s="590">
        <f t="shared" si="6"/>
        <v>8.3167089130792355</v>
      </c>
      <c r="H18" s="590">
        <f t="shared" si="6"/>
        <v>13.364346839532521</v>
      </c>
      <c r="I18" s="590">
        <f t="shared" si="6"/>
        <v>0.64402933770840276</v>
      </c>
      <c r="J18" s="590">
        <f t="shared" si="6"/>
        <v>9.4019004559238457</v>
      </c>
      <c r="K18" s="590">
        <f t="shared" si="6"/>
        <v>1.5697951505898331</v>
      </c>
      <c r="L18" s="590">
        <f t="shared" si="6"/>
        <v>8.1712013023985559</v>
      </c>
      <c r="M18" s="590">
        <f t="shared" si="6"/>
        <v>2.5018873813269451</v>
      </c>
      <c r="N18" s="590">
        <f t="shared" si="6"/>
        <v>2.2707622489993717</v>
      </c>
      <c r="O18" s="590">
        <f t="shared" si="6"/>
        <v>2.1328463397455093</v>
      </c>
      <c r="P18" s="590">
        <f t="shared" si="6"/>
        <v>7.4398673982817449</v>
      </c>
      <c r="Q18" s="590">
        <f t="shared" si="6"/>
        <v>96.350922180842772</v>
      </c>
      <c r="R18" s="590">
        <f t="shared" si="6"/>
        <v>3.6490778191572373</v>
      </c>
      <c r="S18" s="590">
        <f t="shared" si="6"/>
        <v>100</v>
      </c>
      <c r="T18" s="534"/>
      <c r="U18" s="534"/>
      <c r="V18" s="544"/>
    </row>
    <row r="19" spans="1:22" ht="9.6" customHeight="1">
      <c r="A19" s="8" t="s">
        <v>1204</v>
      </c>
      <c r="B19" s="37">
        <v>43449</v>
      </c>
      <c r="C19" s="37">
        <v>12356</v>
      </c>
      <c r="D19" s="37">
        <v>2684</v>
      </c>
      <c r="E19" s="37">
        <v>39069</v>
      </c>
      <c r="F19" s="37">
        <v>3849</v>
      </c>
      <c r="G19" s="37">
        <v>21346</v>
      </c>
      <c r="H19" s="37">
        <v>33770</v>
      </c>
      <c r="I19" s="37">
        <v>1635</v>
      </c>
      <c r="J19" s="37">
        <v>23676</v>
      </c>
      <c r="K19" s="37">
        <v>3983</v>
      </c>
      <c r="L19" s="37">
        <v>20068</v>
      </c>
      <c r="M19" s="37">
        <v>6351</v>
      </c>
      <c r="N19" s="37">
        <v>5798</v>
      </c>
      <c r="O19" s="37">
        <v>5371</v>
      </c>
      <c r="P19" s="37">
        <v>18340</v>
      </c>
      <c r="Q19" s="587">
        <f>SUM(B19:P19)</f>
        <v>241745</v>
      </c>
      <c r="R19" s="37">
        <v>10223</v>
      </c>
      <c r="S19" s="37">
        <f>Q19+R19</f>
        <v>251968</v>
      </c>
      <c r="T19" s="37">
        <v>13283</v>
      </c>
      <c r="U19" s="37">
        <f>S19+T19</f>
        <v>265251</v>
      </c>
      <c r="V19" s="53" t="s">
        <v>1204</v>
      </c>
    </row>
    <row r="20" spans="1:22" ht="9.6" customHeight="1">
      <c r="A20" s="556"/>
      <c r="B20" s="590">
        <f t="shared" ref="B20:S20" si="7">(B19/$S19)*100</f>
        <v>17.243856362712727</v>
      </c>
      <c r="C20" s="590">
        <f t="shared" si="7"/>
        <v>4.9037973075946155</v>
      </c>
      <c r="D20" s="590">
        <f t="shared" si="7"/>
        <v>1.0652146304292609</v>
      </c>
      <c r="E20" s="590">
        <f t="shared" si="7"/>
        <v>15.505540386080771</v>
      </c>
      <c r="F20" s="590">
        <f t="shared" si="7"/>
        <v>1.5275749301498605</v>
      </c>
      <c r="G20" s="590">
        <f t="shared" si="7"/>
        <v>8.4717106934213877</v>
      </c>
      <c r="H20" s="590">
        <f t="shared" si="7"/>
        <v>13.402495554991109</v>
      </c>
      <c r="I20" s="590">
        <f t="shared" si="7"/>
        <v>0.64889192278384555</v>
      </c>
      <c r="J20" s="590">
        <f t="shared" si="7"/>
        <v>9.3964312928625855</v>
      </c>
      <c r="K20" s="590">
        <f t="shared" si="7"/>
        <v>1.5807562865125728</v>
      </c>
      <c r="L20" s="590">
        <f t="shared" si="7"/>
        <v>7.9645034290068581</v>
      </c>
      <c r="M20" s="590">
        <f t="shared" si="7"/>
        <v>2.5205581661163325</v>
      </c>
      <c r="N20" s="590">
        <f t="shared" si="7"/>
        <v>2.3010858521717044</v>
      </c>
      <c r="O20" s="590">
        <f t="shared" si="7"/>
        <v>2.1316198882397766</v>
      </c>
      <c r="P20" s="590">
        <f t="shared" si="7"/>
        <v>7.2787020574041144</v>
      </c>
      <c r="Q20" s="590">
        <f t="shared" si="7"/>
        <v>95.942738760477525</v>
      </c>
      <c r="R20" s="590">
        <f t="shared" si="7"/>
        <v>4.0572612395224787</v>
      </c>
      <c r="S20" s="590">
        <f t="shared" si="7"/>
        <v>100</v>
      </c>
      <c r="T20" s="534"/>
      <c r="U20" s="534"/>
      <c r="V20" s="544"/>
    </row>
    <row r="21" spans="1:22" ht="9.6" customHeight="1">
      <c r="A21" s="8" t="s">
        <v>1205</v>
      </c>
      <c r="B21" s="37">
        <v>44230</v>
      </c>
      <c r="C21" s="37">
        <v>12807</v>
      </c>
      <c r="D21" s="37">
        <v>2909</v>
      </c>
      <c r="E21" s="37">
        <v>42269</v>
      </c>
      <c r="F21" s="37">
        <v>4192</v>
      </c>
      <c r="G21" s="37">
        <v>23120</v>
      </c>
      <c r="H21" s="37">
        <v>36155</v>
      </c>
      <c r="I21" s="37">
        <v>1751</v>
      </c>
      <c r="J21" s="37">
        <v>25552</v>
      </c>
      <c r="K21" s="37">
        <v>4338</v>
      </c>
      <c r="L21" s="37">
        <v>20801</v>
      </c>
      <c r="M21" s="37">
        <v>6860</v>
      </c>
      <c r="N21" s="37">
        <v>6256</v>
      </c>
      <c r="O21" s="37">
        <v>5768</v>
      </c>
      <c r="P21" s="37">
        <v>19082</v>
      </c>
      <c r="Q21" s="37">
        <f>SUM(B21:P21)</f>
        <v>256090</v>
      </c>
      <c r="R21" s="37">
        <v>10884</v>
      </c>
      <c r="S21" s="37">
        <f>Q21+R21</f>
        <v>266974</v>
      </c>
      <c r="T21" s="37">
        <v>13632</v>
      </c>
      <c r="U21" s="37">
        <f>S21+T21</f>
        <v>280606</v>
      </c>
      <c r="V21" s="53" t="s">
        <v>1205</v>
      </c>
    </row>
    <row r="22" spans="1:22" ht="9.6" customHeight="1">
      <c r="A22" s="556"/>
      <c r="B22" s="590">
        <f t="shared" ref="B22:S22" si="8">(B21/$S21)*100</f>
        <v>16.567156352303968</v>
      </c>
      <c r="C22" s="590">
        <f t="shared" si="8"/>
        <v>4.7970963464607035</v>
      </c>
      <c r="D22" s="590">
        <f t="shared" si="8"/>
        <v>1.089619213856031</v>
      </c>
      <c r="E22" s="590">
        <f t="shared" si="8"/>
        <v>15.832627896349457</v>
      </c>
      <c r="F22" s="590">
        <f t="shared" si="8"/>
        <v>1.5701903556151535</v>
      </c>
      <c r="G22" s="590">
        <f t="shared" si="8"/>
        <v>8.6600193277247968</v>
      </c>
      <c r="H22" s="590">
        <f t="shared" si="8"/>
        <v>13.542517248870675</v>
      </c>
      <c r="I22" s="590">
        <f t="shared" si="8"/>
        <v>0.65586911084974564</v>
      </c>
      <c r="J22" s="590">
        <f t="shared" si="8"/>
        <v>9.5709694577000004</v>
      </c>
      <c r="K22" s="590">
        <f t="shared" si="8"/>
        <v>1.6248773288784675</v>
      </c>
      <c r="L22" s="590">
        <f t="shared" si="8"/>
        <v>7.7913954167821586</v>
      </c>
      <c r="M22" s="590">
        <f t="shared" si="8"/>
        <v>2.5695386067557142</v>
      </c>
      <c r="N22" s="590">
        <f t="shared" si="8"/>
        <v>2.3432993475020041</v>
      </c>
      <c r="O22" s="590">
        <f t="shared" si="8"/>
        <v>2.1605100122109269</v>
      </c>
      <c r="P22" s="590">
        <f t="shared" si="8"/>
        <v>7.1475124918531394</v>
      </c>
      <c r="Q22" s="590">
        <f t="shared" si="8"/>
        <v>95.923198513712947</v>
      </c>
      <c r="R22" s="590">
        <f t="shared" si="8"/>
        <v>4.0768014862870547</v>
      </c>
      <c r="S22" s="590">
        <f t="shared" si="8"/>
        <v>100</v>
      </c>
      <c r="T22" s="534"/>
      <c r="U22" s="534"/>
      <c r="V22" s="544"/>
    </row>
    <row r="23" spans="1:22" ht="9.6" customHeight="1">
      <c r="A23" s="592" t="s">
        <v>1210</v>
      </c>
      <c r="B23" s="587">
        <v>46545</v>
      </c>
      <c r="C23" s="587">
        <v>13308</v>
      </c>
      <c r="D23" s="587">
        <v>3178</v>
      </c>
      <c r="E23" s="587">
        <v>46820</v>
      </c>
      <c r="F23" s="587">
        <v>4513</v>
      </c>
      <c r="G23" s="587">
        <v>25042</v>
      </c>
      <c r="H23" s="587">
        <v>38596</v>
      </c>
      <c r="I23" s="587">
        <v>1881</v>
      </c>
      <c r="J23" s="587">
        <v>27592</v>
      </c>
      <c r="K23" s="587">
        <v>4707</v>
      </c>
      <c r="L23" s="587">
        <v>21569</v>
      </c>
      <c r="M23" s="587">
        <v>7420</v>
      </c>
      <c r="N23" s="587">
        <v>6822</v>
      </c>
      <c r="O23" s="587">
        <v>6217</v>
      </c>
      <c r="P23" s="587">
        <v>19863</v>
      </c>
      <c r="Q23" s="37">
        <f>SUM(B23:P23)</f>
        <v>274073</v>
      </c>
      <c r="R23" s="587">
        <v>10599</v>
      </c>
      <c r="S23" s="37">
        <f>Q23+R23</f>
        <v>284672</v>
      </c>
      <c r="T23" s="587">
        <v>18631</v>
      </c>
      <c r="U23" s="37">
        <f>S23+T23</f>
        <v>303303</v>
      </c>
      <c r="V23" s="593" t="s">
        <v>1210</v>
      </c>
    </row>
    <row r="24" spans="1:22" ht="9.6" customHeight="1">
      <c r="A24" s="556"/>
      <c r="B24" s="590">
        <f t="shared" ref="B24:S24" si="9">(B23/$S23)*100</f>
        <v>16.3503962455036</v>
      </c>
      <c r="C24" s="590">
        <f t="shared" si="9"/>
        <v>4.6748538669064743</v>
      </c>
      <c r="D24" s="590">
        <f t="shared" si="9"/>
        <v>1.1163725269784173</v>
      </c>
      <c r="E24" s="590">
        <f t="shared" si="9"/>
        <v>16.446998651079138</v>
      </c>
      <c r="F24" s="590">
        <f t="shared" si="9"/>
        <v>1.5853332958633095</v>
      </c>
      <c r="G24" s="590">
        <f t="shared" si="9"/>
        <v>8.7967906924460433</v>
      </c>
      <c r="H24" s="590">
        <f t="shared" si="9"/>
        <v>13.558059802158272</v>
      </c>
      <c r="I24" s="590">
        <f t="shared" si="9"/>
        <v>0.66076045413669071</v>
      </c>
      <c r="J24" s="590">
        <f t="shared" si="9"/>
        <v>9.6925584532374103</v>
      </c>
      <c r="K24" s="590">
        <f t="shared" si="9"/>
        <v>1.6534819019784173</v>
      </c>
      <c r="L24" s="590">
        <f t="shared" si="9"/>
        <v>7.5767901303956826</v>
      </c>
      <c r="M24" s="590">
        <f t="shared" si="9"/>
        <v>2.6065085431654675</v>
      </c>
      <c r="N24" s="590">
        <f t="shared" si="9"/>
        <v>2.3964422212230216</v>
      </c>
      <c r="O24" s="590">
        <f t="shared" si="9"/>
        <v>2.1839169289568345</v>
      </c>
      <c r="P24" s="590">
        <f t="shared" si="9"/>
        <v>6.9775039343525176</v>
      </c>
      <c r="Q24" s="590">
        <f t="shared" si="9"/>
        <v>96.276767648381295</v>
      </c>
      <c r="R24" s="590">
        <f t="shared" si="9"/>
        <v>3.7232323516187051</v>
      </c>
      <c r="S24" s="590">
        <f t="shared" si="9"/>
        <v>100</v>
      </c>
      <c r="T24" s="534"/>
      <c r="U24" s="534"/>
      <c r="V24" s="544"/>
    </row>
    <row r="25" spans="1:22" ht="9.6" customHeight="1">
      <c r="A25" s="257" t="s">
        <v>1219</v>
      </c>
      <c r="B25" s="42">
        <v>48730</v>
      </c>
      <c r="C25" s="42">
        <v>13850</v>
      </c>
      <c r="D25" s="42">
        <v>3443</v>
      </c>
      <c r="E25" s="42">
        <v>51372</v>
      </c>
      <c r="F25" s="42">
        <v>4607</v>
      </c>
      <c r="G25" s="42">
        <v>26796</v>
      </c>
      <c r="H25" s="42">
        <v>41700</v>
      </c>
      <c r="I25" s="42">
        <v>2023</v>
      </c>
      <c r="J25" s="42">
        <v>29809</v>
      </c>
      <c r="K25" s="42">
        <v>5139</v>
      </c>
      <c r="L25" s="42">
        <v>22380</v>
      </c>
      <c r="M25" s="42">
        <v>8044</v>
      </c>
      <c r="N25" s="42">
        <v>7433</v>
      </c>
      <c r="O25" s="42">
        <v>6693</v>
      </c>
      <c r="P25" s="42">
        <v>20773</v>
      </c>
      <c r="Q25" s="37">
        <f>SUM(B25:P25)</f>
        <v>292792</v>
      </c>
      <c r="R25" s="42">
        <v>10179</v>
      </c>
      <c r="S25" s="37">
        <f>Q25+R25</f>
        <v>302971</v>
      </c>
      <c r="T25" s="42">
        <v>22620</v>
      </c>
      <c r="U25" s="37">
        <f>S25+T25</f>
        <v>325591</v>
      </c>
      <c r="V25" s="385" t="s">
        <v>1219</v>
      </c>
    </row>
    <row r="26" spans="1:22" ht="9.6" customHeight="1">
      <c r="A26" s="556"/>
      <c r="B26" s="590">
        <f t="shared" ref="B26:S26" si="10">(B25/$S25)*100</f>
        <v>16.084047648124738</v>
      </c>
      <c r="C26" s="590">
        <f t="shared" si="10"/>
        <v>4.571394621927511</v>
      </c>
      <c r="D26" s="590">
        <f t="shared" si="10"/>
        <v>1.1364123959058787</v>
      </c>
      <c r="E26" s="590">
        <f t="shared" si="10"/>
        <v>16.956078304524194</v>
      </c>
      <c r="F26" s="590">
        <f t="shared" si="10"/>
        <v>1.5206075829039742</v>
      </c>
      <c r="G26" s="590">
        <f t="shared" si="10"/>
        <v>8.8444108512035804</v>
      </c>
      <c r="H26" s="590">
        <f t="shared" si="10"/>
        <v>13.763693554828679</v>
      </c>
      <c r="I26" s="590">
        <f t="shared" si="10"/>
        <v>0.66772067293569348</v>
      </c>
      <c r="J26" s="590">
        <f t="shared" si="10"/>
        <v>9.8388954718438395</v>
      </c>
      <c r="K26" s="590">
        <f t="shared" si="10"/>
        <v>1.6962019467209735</v>
      </c>
      <c r="L26" s="590">
        <f t="shared" si="10"/>
        <v>7.3868456056850329</v>
      </c>
      <c r="M26" s="590">
        <f t="shared" si="10"/>
        <v>2.6550395912480074</v>
      </c>
      <c r="N26" s="590">
        <f t="shared" si="10"/>
        <v>2.4533701245333712</v>
      </c>
      <c r="O26" s="590">
        <f t="shared" si="10"/>
        <v>2.2091223252390493</v>
      </c>
      <c r="P26" s="590">
        <f t="shared" si="10"/>
        <v>6.856431803703984</v>
      </c>
      <c r="Q26" s="590">
        <f t="shared" si="10"/>
        <v>96.640272501328511</v>
      </c>
      <c r="R26" s="590">
        <f t="shared" si="10"/>
        <v>3.3597274986714902</v>
      </c>
      <c r="S26" s="590">
        <f t="shared" si="10"/>
        <v>100</v>
      </c>
      <c r="T26" s="534"/>
      <c r="U26" s="534"/>
      <c r="V26" s="544"/>
    </row>
    <row r="27" spans="1:22" ht="9.6" customHeight="1">
      <c r="A27" s="8" t="s">
        <v>916</v>
      </c>
      <c r="B27" s="44">
        <v>50157</v>
      </c>
      <c r="C27" s="44">
        <v>14429</v>
      </c>
      <c r="D27" s="44">
        <v>3751</v>
      </c>
      <c r="E27" s="44">
        <v>55077</v>
      </c>
      <c r="F27" s="44">
        <v>4919</v>
      </c>
      <c r="G27" s="44">
        <v>28318</v>
      </c>
      <c r="H27" s="44">
        <v>44543</v>
      </c>
      <c r="I27" s="44">
        <v>2176</v>
      </c>
      <c r="J27" s="44">
        <v>32357</v>
      </c>
      <c r="K27" s="44">
        <v>5596</v>
      </c>
      <c r="L27" s="44">
        <v>23221</v>
      </c>
      <c r="M27" s="44">
        <v>8543</v>
      </c>
      <c r="N27" s="44">
        <v>8013</v>
      </c>
      <c r="O27" s="44">
        <v>7163</v>
      </c>
      <c r="P27" s="44">
        <v>21731</v>
      </c>
      <c r="Q27" s="37">
        <f>SUM(B27:P27)</f>
        <v>309994</v>
      </c>
      <c r="R27" s="44">
        <v>11732</v>
      </c>
      <c r="S27" s="37">
        <f>Q27+R27</f>
        <v>321726</v>
      </c>
      <c r="T27" s="44">
        <v>28522</v>
      </c>
      <c r="U27" s="37">
        <f>S27+T27</f>
        <v>350248</v>
      </c>
      <c r="V27" s="53" t="s">
        <v>916</v>
      </c>
    </row>
    <row r="28" spans="1:22" ht="9.6" customHeight="1">
      <c r="A28" s="556"/>
      <c r="B28" s="590">
        <f t="shared" ref="B28:S28" si="11">(B27/$S27)*100</f>
        <v>15.589974077320454</v>
      </c>
      <c r="C28" s="590">
        <f t="shared" si="11"/>
        <v>4.4848722204608897</v>
      </c>
      <c r="D28" s="590">
        <f t="shared" si="11"/>
        <v>1.1658989326321156</v>
      </c>
      <c r="E28" s="590">
        <f t="shared" si="11"/>
        <v>17.119225676507337</v>
      </c>
      <c r="F28" s="590">
        <f t="shared" si="11"/>
        <v>1.528940775691116</v>
      </c>
      <c r="G28" s="590">
        <f t="shared" si="11"/>
        <v>8.8018997532061434</v>
      </c>
      <c r="H28" s="590">
        <f t="shared" si="11"/>
        <v>13.845010972069401</v>
      </c>
      <c r="I28" s="590">
        <f t="shared" si="11"/>
        <v>0.67635192679485023</v>
      </c>
      <c r="J28" s="590">
        <f t="shared" si="11"/>
        <v>10.057315852619931</v>
      </c>
      <c r="K28" s="590">
        <f t="shared" si="11"/>
        <v>1.7393682823271976</v>
      </c>
      <c r="L28" s="590">
        <f t="shared" si="11"/>
        <v>7.2176323952680228</v>
      </c>
      <c r="M28" s="590">
        <f t="shared" si="11"/>
        <v>2.6553651243604808</v>
      </c>
      <c r="N28" s="590">
        <f t="shared" si="11"/>
        <v>2.4906286716025439</v>
      </c>
      <c r="O28" s="590">
        <f t="shared" si="11"/>
        <v>2.2264287001983054</v>
      </c>
      <c r="P28" s="590">
        <f t="shared" si="11"/>
        <v>6.7545053865711813</v>
      </c>
      <c r="Q28" s="590">
        <f t="shared" si="11"/>
        <v>96.353418747629973</v>
      </c>
      <c r="R28" s="590">
        <f t="shared" si="11"/>
        <v>3.6465812523700292</v>
      </c>
      <c r="S28" s="590">
        <f t="shared" si="11"/>
        <v>100</v>
      </c>
      <c r="T28" s="534"/>
      <c r="U28" s="534"/>
      <c r="V28" s="544"/>
    </row>
    <row r="29" spans="1:22" ht="9.6" customHeight="1">
      <c r="A29" s="8" t="s">
        <v>230</v>
      </c>
      <c r="B29" s="456">
        <v>52215</v>
      </c>
      <c r="C29" s="456">
        <v>15029</v>
      </c>
      <c r="D29" s="456">
        <v>4120</v>
      </c>
      <c r="E29" s="456">
        <v>58754</v>
      </c>
      <c r="F29" s="456">
        <v>5210</v>
      </c>
      <c r="G29" s="456">
        <v>29931</v>
      </c>
      <c r="H29" s="456">
        <v>47309</v>
      </c>
      <c r="I29" s="456">
        <v>2341</v>
      </c>
      <c r="J29" s="456">
        <v>34949</v>
      </c>
      <c r="K29" s="456">
        <v>6099</v>
      </c>
      <c r="L29" s="456">
        <v>24106</v>
      </c>
      <c r="M29" s="456">
        <v>9142</v>
      </c>
      <c r="N29" s="456">
        <v>8658</v>
      </c>
      <c r="O29" s="456">
        <v>7678</v>
      </c>
      <c r="P29" s="456">
        <v>22753</v>
      </c>
      <c r="Q29" s="37">
        <f>SUM(B29:P29)</f>
        <v>328294</v>
      </c>
      <c r="R29" s="44">
        <v>11903</v>
      </c>
      <c r="S29" s="37">
        <f>Q29+R29</f>
        <v>340197</v>
      </c>
      <c r="T29" s="37">
        <v>30933</v>
      </c>
      <c r="U29" s="37">
        <f>S29+T29</f>
        <v>371130</v>
      </c>
      <c r="V29" s="53" t="s">
        <v>230</v>
      </c>
    </row>
    <row r="30" spans="1:22" ht="9.6" customHeight="1">
      <c r="A30" s="556"/>
      <c r="B30" s="590">
        <f t="shared" ref="B30:S30" si="12">(B29/$S29)*100</f>
        <v>15.348459862961755</v>
      </c>
      <c r="C30" s="590">
        <f t="shared" si="12"/>
        <v>4.4177344303447708</v>
      </c>
      <c r="D30" s="590">
        <f t="shared" si="12"/>
        <v>1.21106300173135</v>
      </c>
      <c r="E30" s="590">
        <f t="shared" si="12"/>
        <v>17.270581457214497</v>
      </c>
      <c r="F30" s="590">
        <f t="shared" si="12"/>
        <v>1.5314655919952265</v>
      </c>
      <c r="G30" s="590">
        <f t="shared" si="12"/>
        <v>8.798137549713843</v>
      </c>
      <c r="H30" s="590">
        <f t="shared" si="12"/>
        <v>13.906354259443793</v>
      </c>
      <c r="I30" s="590">
        <f t="shared" si="12"/>
        <v>0.68813070074104121</v>
      </c>
      <c r="J30" s="590">
        <f t="shared" si="12"/>
        <v>10.273165254249744</v>
      </c>
      <c r="K30" s="590">
        <f t="shared" si="12"/>
        <v>1.7927847688251219</v>
      </c>
      <c r="L30" s="590">
        <f t="shared" si="12"/>
        <v>7.0858943494504656</v>
      </c>
      <c r="M30" s="590">
        <f t="shared" si="12"/>
        <v>2.6872664955893204</v>
      </c>
      <c r="N30" s="590">
        <f t="shared" si="12"/>
        <v>2.5449959876189387</v>
      </c>
      <c r="O30" s="590">
        <f t="shared" si="12"/>
        <v>2.2569276037119668</v>
      </c>
      <c r="P30" s="590">
        <f t="shared" si="12"/>
        <v>6.6881836112605342</v>
      </c>
      <c r="Q30" s="590">
        <f t="shared" si="12"/>
        <v>96.501144924852369</v>
      </c>
      <c r="R30" s="590">
        <f t="shared" si="12"/>
        <v>3.4988550751476355</v>
      </c>
      <c r="S30" s="590">
        <f t="shared" si="12"/>
        <v>100</v>
      </c>
      <c r="T30" s="534"/>
      <c r="U30" s="534"/>
      <c r="V30" s="544"/>
    </row>
    <row r="31" spans="1:22" ht="9.6" customHeight="1">
      <c r="A31" s="8" t="s">
        <v>220</v>
      </c>
      <c r="B31" s="456">
        <v>55117</v>
      </c>
      <c r="C31" s="456">
        <v>15652</v>
      </c>
      <c r="D31" s="456">
        <v>4482</v>
      </c>
      <c r="E31" s="456">
        <v>62571</v>
      </c>
      <c r="F31" s="456">
        <v>5589</v>
      </c>
      <c r="G31" s="456">
        <v>31730</v>
      </c>
      <c r="H31" s="456">
        <v>50088</v>
      </c>
      <c r="I31" s="456">
        <v>2519</v>
      </c>
      <c r="J31" s="456">
        <v>37637</v>
      </c>
      <c r="K31" s="456">
        <v>6809</v>
      </c>
      <c r="L31" s="456">
        <v>25045</v>
      </c>
      <c r="M31" s="456">
        <v>9906</v>
      </c>
      <c r="N31" s="456">
        <v>9458</v>
      </c>
      <c r="O31" s="456">
        <v>8300</v>
      </c>
      <c r="P31" s="456">
        <v>23826</v>
      </c>
      <c r="Q31" s="37">
        <f>SUM(B31:P31)</f>
        <v>348729</v>
      </c>
      <c r="R31" s="44">
        <v>12116</v>
      </c>
      <c r="S31" s="37">
        <f>Q31+R31</f>
        <v>360845</v>
      </c>
      <c r="T31" s="37">
        <v>33575</v>
      </c>
      <c r="U31" s="37">
        <f>S31+T31</f>
        <v>394420</v>
      </c>
      <c r="V31" s="53" t="s">
        <v>220</v>
      </c>
    </row>
    <row r="32" spans="1:22" ht="9.6" customHeight="1">
      <c r="A32" s="534"/>
      <c r="B32" s="590">
        <f t="shared" ref="B32:S32" si="13">(B31/$S31)*100</f>
        <v>15.274425307264892</v>
      </c>
      <c r="C32" s="590">
        <f t="shared" si="13"/>
        <v>4.3375964749407645</v>
      </c>
      <c r="D32" s="590">
        <f t="shared" si="13"/>
        <v>1.2420845515387493</v>
      </c>
      <c r="E32" s="590">
        <f t="shared" si="13"/>
        <v>17.340132189721349</v>
      </c>
      <c r="F32" s="590">
        <f t="shared" si="13"/>
        <v>1.5488644708947055</v>
      </c>
      <c r="G32" s="590">
        <f t="shared" si="13"/>
        <v>8.7932491790103793</v>
      </c>
      <c r="H32" s="590">
        <f t="shared" si="13"/>
        <v>13.880752123487925</v>
      </c>
      <c r="I32" s="590">
        <f t="shared" si="13"/>
        <v>0.69808366473139438</v>
      </c>
      <c r="J32" s="590">
        <f t="shared" si="13"/>
        <v>10.430240130804085</v>
      </c>
      <c r="K32" s="590">
        <f t="shared" si="13"/>
        <v>1.8869597749726339</v>
      </c>
      <c r="L32" s="590">
        <f t="shared" si="13"/>
        <v>6.9406531890423864</v>
      </c>
      <c r="M32" s="590">
        <f t="shared" si="13"/>
        <v>2.7452230181934074</v>
      </c>
      <c r="N32" s="590">
        <f t="shared" si="13"/>
        <v>2.621069988499217</v>
      </c>
      <c r="O32" s="590">
        <f t="shared" si="13"/>
        <v>2.3001565769236101</v>
      </c>
      <c r="P32" s="590">
        <f t="shared" si="13"/>
        <v>6.6028350122628821</v>
      </c>
      <c r="Q32" s="590">
        <f t="shared" si="13"/>
        <v>96.642325652288378</v>
      </c>
      <c r="R32" s="590">
        <f t="shared" si="13"/>
        <v>3.3576743477116215</v>
      </c>
      <c r="S32" s="590">
        <f t="shared" si="13"/>
        <v>100</v>
      </c>
      <c r="T32" s="534"/>
      <c r="U32" s="534"/>
      <c r="V32" s="534"/>
    </row>
    <row r="33" spans="1:22" ht="9.6" customHeight="1">
      <c r="A33" s="8" t="s">
        <v>489</v>
      </c>
      <c r="B33" s="421">
        <v>57923</v>
      </c>
      <c r="C33" s="421">
        <v>16474</v>
      </c>
      <c r="D33" s="421">
        <v>4698</v>
      </c>
      <c r="E33" s="421">
        <v>68482</v>
      </c>
      <c r="F33" s="421">
        <v>5960</v>
      </c>
      <c r="G33" s="421">
        <v>33795</v>
      </c>
      <c r="H33" s="421">
        <v>53249</v>
      </c>
      <c r="I33" s="421">
        <v>2709</v>
      </c>
      <c r="J33" s="421">
        <v>39778</v>
      </c>
      <c r="K33" s="421">
        <v>7466</v>
      </c>
      <c r="L33" s="421">
        <v>26037</v>
      </c>
      <c r="M33" s="421">
        <v>10864</v>
      </c>
      <c r="N33" s="421">
        <v>10343</v>
      </c>
      <c r="O33" s="421">
        <v>8993</v>
      </c>
      <c r="P33" s="421">
        <v>24947</v>
      </c>
      <c r="Q33" s="37">
        <f>SUM(B33:P33)</f>
        <v>371718</v>
      </c>
      <c r="R33" s="421">
        <v>13332</v>
      </c>
      <c r="S33" s="37">
        <f>Q33+R33</f>
        <v>385050</v>
      </c>
      <c r="T33" s="37">
        <v>35046</v>
      </c>
      <c r="U33" s="37">
        <f>S33+T33</f>
        <v>420096</v>
      </c>
      <c r="V33" s="53" t="s">
        <v>489</v>
      </c>
    </row>
    <row r="34" spans="1:22" ht="9.6" customHeight="1">
      <c r="A34" s="534"/>
      <c r="B34" s="590">
        <f t="shared" ref="B34:S34" si="14">(B33/$S33)*100</f>
        <v>15.042981430982987</v>
      </c>
      <c r="C34" s="590">
        <f t="shared" si="14"/>
        <v>4.2784054018958582</v>
      </c>
      <c r="D34" s="590">
        <f t="shared" si="14"/>
        <v>1.2201012855473314</v>
      </c>
      <c r="E34" s="590">
        <f t="shared" si="14"/>
        <v>17.785222698350864</v>
      </c>
      <c r="F34" s="590">
        <f t="shared" si="14"/>
        <v>1.5478509284508506</v>
      </c>
      <c r="G34" s="590">
        <f t="shared" si="14"/>
        <v>8.7767822360732364</v>
      </c>
      <c r="H34" s="590">
        <f t="shared" si="14"/>
        <v>13.829113102194521</v>
      </c>
      <c r="I34" s="590">
        <f t="shared" si="14"/>
        <v>0.70354499415660299</v>
      </c>
      <c r="J34" s="590">
        <f t="shared" si="14"/>
        <v>10.330606414751331</v>
      </c>
      <c r="K34" s="590">
        <f t="shared" si="14"/>
        <v>1.9389689650694715</v>
      </c>
      <c r="L34" s="590">
        <f t="shared" si="14"/>
        <v>6.7619789637709387</v>
      </c>
      <c r="M34" s="590">
        <f t="shared" si="14"/>
        <v>2.8214517595117514</v>
      </c>
      <c r="N34" s="590">
        <f t="shared" si="14"/>
        <v>2.686144656538112</v>
      </c>
      <c r="O34" s="590">
        <f t="shared" si="14"/>
        <v>2.3355408388520971</v>
      </c>
      <c r="P34" s="590">
        <f t="shared" si="14"/>
        <v>6.4788988443059345</v>
      </c>
      <c r="Q34" s="590">
        <f t="shared" si="14"/>
        <v>96.537592520451881</v>
      </c>
      <c r="R34" s="590">
        <f t="shared" si="14"/>
        <v>3.4624074795481108</v>
      </c>
      <c r="S34" s="590">
        <f t="shared" si="14"/>
        <v>100</v>
      </c>
      <c r="T34" s="534"/>
      <c r="U34" s="534"/>
      <c r="V34" s="534"/>
    </row>
    <row r="35" spans="1:22" s="317" customFormat="1" ht="9.6" customHeight="1">
      <c r="A35" s="257" t="s">
        <v>1580</v>
      </c>
      <c r="B35" s="917">
        <v>59348</v>
      </c>
      <c r="C35" s="916">
        <v>17362</v>
      </c>
      <c r="D35" s="916">
        <v>5063</v>
      </c>
      <c r="E35" s="916">
        <v>74897</v>
      </c>
      <c r="F35" s="916">
        <v>6677</v>
      </c>
      <c r="G35" s="916">
        <v>36352</v>
      </c>
      <c r="H35" s="916">
        <v>56248</v>
      </c>
      <c r="I35" s="916">
        <v>2914</v>
      </c>
      <c r="J35" s="916">
        <v>42412</v>
      </c>
      <c r="K35" s="916">
        <v>8290</v>
      </c>
      <c r="L35" s="916">
        <v>27091</v>
      </c>
      <c r="M35" s="916">
        <v>11496</v>
      </c>
      <c r="N35" s="916">
        <v>11088</v>
      </c>
      <c r="O35" s="916">
        <v>9705</v>
      </c>
      <c r="P35" s="916">
        <v>26135</v>
      </c>
      <c r="Q35" s="256">
        <f>SUM(B35:P35)</f>
        <v>395078</v>
      </c>
      <c r="R35" s="916">
        <v>13975</v>
      </c>
      <c r="S35" s="42">
        <f>Q35+R35</f>
        <v>409053</v>
      </c>
      <c r="T35" s="916">
        <v>39786</v>
      </c>
      <c r="U35" s="42">
        <f>S35+T35</f>
        <v>448839</v>
      </c>
      <c r="V35" s="385" t="s">
        <v>1580</v>
      </c>
    </row>
    <row r="36" spans="1:22" s="11" customFormat="1" ht="9.6" customHeight="1">
      <c r="A36" s="534"/>
      <c r="B36" s="590">
        <f t="shared" ref="B36:S36" si="15">(B35/$S35)*100</f>
        <v>14.508633355579839</v>
      </c>
      <c r="C36" s="590">
        <f t="shared" si="15"/>
        <v>4.2444377623437548</v>
      </c>
      <c r="D36" s="590">
        <f t="shared" si="15"/>
        <v>1.2377369191767325</v>
      </c>
      <c r="E36" s="590">
        <f t="shared" si="15"/>
        <v>18.309852268532438</v>
      </c>
      <c r="F36" s="590">
        <f t="shared" si="15"/>
        <v>1.6323068159871703</v>
      </c>
      <c r="G36" s="590">
        <f t="shared" si="15"/>
        <v>8.8868679608754864</v>
      </c>
      <c r="H36" s="590">
        <f t="shared" si="15"/>
        <v>13.750785350553596</v>
      </c>
      <c r="I36" s="590">
        <f t="shared" si="15"/>
        <v>0.71237712472466896</v>
      </c>
      <c r="J36" s="590">
        <f t="shared" si="15"/>
        <v>10.368338577152594</v>
      </c>
      <c r="K36" s="590">
        <f t="shared" si="15"/>
        <v>2.0266322456992123</v>
      </c>
      <c r="L36" s="590">
        <f t="shared" si="15"/>
        <v>6.6228581626341825</v>
      </c>
      <c r="M36" s="590">
        <f t="shared" si="15"/>
        <v>2.8103937631553855</v>
      </c>
      <c r="N36" s="590">
        <f t="shared" si="15"/>
        <v>2.7106511870099963</v>
      </c>
      <c r="O36" s="590">
        <f t="shared" si="15"/>
        <v>2.3725531899289334</v>
      </c>
      <c r="P36" s="590">
        <f t="shared" si="15"/>
        <v>6.3891476165680237</v>
      </c>
      <c r="Q36" s="590">
        <f t="shared" si="15"/>
        <v>96.583572299922011</v>
      </c>
      <c r="R36" s="590">
        <f t="shared" si="15"/>
        <v>3.416427700077985</v>
      </c>
      <c r="S36" s="590">
        <f t="shared" si="15"/>
        <v>100</v>
      </c>
      <c r="T36" s="534"/>
      <c r="U36" s="534"/>
      <c r="V36" s="534"/>
    </row>
    <row r="37" spans="1:22" s="317" customFormat="1" ht="9.6" customHeight="1">
      <c r="A37" s="480" t="s">
        <v>2564</v>
      </c>
      <c r="B37" s="917">
        <v>70171</v>
      </c>
      <c r="C37" s="916">
        <v>16814</v>
      </c>
      <c r="D37" s="916">
        <v>7009</v>
      </c>
      <c r="E37" s="916">
        <v>73834</v>
      </c>
      <c r="F37" s="916">
        <v>5553</v>
      </c>
      <c r="G37" s="916">
        <v>29825</v>
      </c>
      <c r="H37" s="916">
        <v>62352</v>
      </c>
      <c r="I37" s="916">
        <v>3467</v>
      </c>
      <c r="J37" s="916">
        <v>46497</v>
      </c>
      <c r="K37" s="916">
        <v>14216</v>
      </c>
      <c r="L37" s="916">
        <v>37935</v>
      </c>
      <c r="M37" s="916">
        <v>14089</v>
      </c>
      <c r="N37" s="916">
        <v>9962</v>
      </c>
      <c r="O37" s="916">
        <v>9288</v>
      </c>
      <c r="P37" s="916">
        <v>56600</v>
      </c>
      <c r="Q37" s="256">
        <f>SUM(B37:P37)</f>
        <v>457612</v>
      </c>
      <c r="R37" s="916">
        <v>24725</v>
      </c>
      <c r="S37" s="42">
        <f>Q37+R37</f>
        <v>482337</v>
      </c>
      <c r="T37" s="916">
        <v>27208</v>
      </c>
      <c r="U37" s="42">
        <f>S37+T37</f>
        <v>509545</v>
      </c>
      <c r="V37" s="736" t="s">
        <v>2564</v>
      </c>
    </row>
    <row r="38" spans="1:22" ht="9.6" customHeight="1">
      <c r="A38" s="1174"/>
      <c r="B38" s="590">
        <f t="shared" ref="B38:S38" si="16">(B37/$S37)*100</f>
        <v>14.548127139323752</v>
      </c>
      <c r="C38" s="590">
        <f t="shared" si="16"/>
        <v>3.4859444745064136</v>
      </c>
      <c r="D38" s="590">
        <f t="shared" si="16"/>
        <v>1.4531333901400889</v>
      </c>
      <c r="E38" s="590">
        <f t="shared" si="16"/>
        <v>15.307554676502114</v>
      </c>
      <c r="F38" s="590">
        <f t="shared" si="16"/>
        <v>1.151269755378501</v>
      </c>
      <c r="G38" s="590">
        <f t="shared" si="16"/>
        <v>6.1834360623381581</v>
      </c>
      <c r="H38" s="590">
        <f t="shared" si="16"/>
        <v>12.927061369955032</v>
      </c>
      <c r="I38" s="590">
        <f t="shared" si="16"/>
        <v>0.71879204788353368</v>
      </c>
      <c r="J38" s="590">
        <f t="shared" si="16"/>
        <v>9.6399405394983173</v>
      </c>
      <c r="K38" s="590">
        <f t="shared" si="16"/>
        <v>2.9473169174249541</v>
      </c>
      <c r="L38" s="590">
        <f t="shared" si="16"/>
        <v>7.8648330938741999</v>
      </c>
      <c r="M38" s="590">
        <f t="shared" si="16"/>
        <v>2.9209867789533042</v>
      </c>
      <c r="N38" s="590">
        <f t="shared" si="16"/>
        <v>2.0653609405871829</v>
      </c>
      <c r="O38" s="590">
        <f t="shared" si="16"/>
        <v>1.9256246151549643</v>
      </c>
      <c r="P38" s="590">
        <f t="shared" si="16"/>
        <v>11.734534153506781</v>
      </c>
      <c r="Q38" s="590">
        <f t="shared" si="16"/>
        <v>94.8739159550273</v>
      </c>
      <c r="R38" s="590">
        <f t="shared" si="16"/>
        <v>5.1260840449727052</v>
      </c>
      <c r="S38" s="590">
        <f t="shared" si="16"/>
        <v>100</v>
      </c>
      <c r="T38" s="534"/>
      <c r="U38" s="534"/>
      <c r="V38" s="544"/>
    </row>
    <row r="39" spans="1:22" ht="9.6" customHeight="1">
      <c r="A39" s="448" t="s">
        <v>2565</v>
      </c>
      <c r="B39" s="917">
        <v>74410</v>
      </c>
      <c r="C39" s="916">
        <v>18397</v>
      </c>
      <c r="D39" s="916">
        <v>7433</v>
      </c>
      <c r="E39" s="916">
        <v>81612</v>
      </c>
      <c r="F39" s="916">
        <v>5831</v>
      </c>
      <c r="G39" s="916">
        <v>31836</v>
      </c>
      <c r="H39" s="916">
        <v>67571</v>
      </c>
      <c r="I39" s="916">
        <v>3659</v>
      </c>
      <c r="J39" s="916">
        <v>50878</v>
      </c>
      <c r="K39" s="916">
        <v>15139</v>
      </c>
      <c r="L39" s="916">
        <v>39382</v>
      </c>
      <c r="M39" s="916">
        <v>15293</v>
      </c>
      <c r="N39" s="916">
        <v>10835</v>
      </c>
      <c r="O39" s="916">
        <v>9749</v>
      </c>
      <c r="P39" s="916">
        <v>58399</v>
      </c>
      <c r="Q39" s="256">
        <f>SUM(B39:P39)</f>
        <v>490424</v>
      </c>
      <c r="R39" s="916">
        <v>25959</v>
      </c>
      <c r="S39" s="42">
        <f>Q39+R39</f>
        <v>516383</v>
      </c>
      <c r="T39" s="916">
        <v>33121</v>
      </c>
      <c r="U39" s="42">
        <f>S39+T39</f>
        <v>549504</v>
      </c>
      <c r="V39" s="385" t="s">
        <v>2565</v>
      </c>
    </row>
    <row r="40" spans="1:22" ht="9.6" customHeight="1">
      <c r="A40" s="1174"/>
      <c r="B40" s="590">
        <f t="shared" ref="B40:S40" si="17">(B39/$S39)*100</f>
        <v>14.409846954682862</v>
      </c>
      <c r="C40" s="590">
        <f t="shared" si="17"/>
        <v>3.562665695811055</v>
      </c>
      <c r="D40" s="590">
        <f t="shared" si="17"/>
        <v>1.4394354577900512</v>
      </c>
      <c r="E40" s="590">
        <f t="shared" si="17"/>
        <v>15.804548174513878</v>
      </c>
      <c r="F40" s="590">
        <f t="shared" si="17"/>
        <v>1.1292006127235017</v>
      </c>
      <c r="G40" s="590">
        <f t="shared" si="17"/>
        <v>6.1651913405359977</v>
      </c>
      <c r="H40" s="590">
        <f t="shared" si="17"/>
        <v>13.085442394501756</v>
      </c>
      <c r="I40" s="590">
        <f t="shared" si="17"/>
        <v>0.70858258308271183</v>
      </c>
      <c r="J40" s="590">
        <f t="shared" si="17"/>
        <v>9.8527643241547462</v>
      </c>
      <c r="K40" s="590">
        <f t="shared" si="17"/>
        <v>2.9317386513498702</v>
      </c>
      <c r="L40" s="590">
        <f t="shared" si="17"/>
        <v>7.6265097805311166</v>
      </c>
      <c r="M40" s="590">
        <f t="shared" si="17"/>
        <v>2.9615614766558931</v>
      </c>
      <c r="N40" s="590">
        <f t="shared" si="17"/>
        <v>2.0982487804594654</v>
      </c>
      <c r="O40" s="590">
        <f t="shared" si="17"/>
        <v>1.8879397656390702</v>
      </c>
      <c r="P40" s="590">
        <f t="shared" si="17"/>
        <v>11.309241396405382</v>
      </c>
      <c r="Q40" s="590">
        <f t="shared" si="17"/>
        <v>94.972917388837345</v>
      </c>
      <c r="R40" s="590">
        <f t="shared" si="17"/>
        <v>5.027082611162645</v>
      </c>
      <c r="S40" s="590">
        <f t="shared" si="17"/>
        <v>100</v>
      </c>
      <c r="T40" s="534"/>
      <c r="U40" s="534"/>
      <c r="V40" s="544"/>
    </row>
    <row r="41" spans="1:22" ht="9.6" customHeight="1">
      <c r="A41" s="448" t="s">
        <v>2566</v>
      </c>
      <c r="B41" s="917">
        <v>77292</v>
      </c>
      <c r="C41" s="916">
        <v>19685</v>
      </c>
      <c r="D41" s="916">
        <v>8003</v>
      </c>
      <c r="E41" s="916">
        <v>87596</v>
      </c>
      <c r="F41" s="916">
        <v>6284</v>
      </c>
      <c r="G41" s="916">
        <v>33742</v>
      </c>
      <c r="H41" s="916">
        <v>72481</v>
      </c>
      <c r="I41" s="916">
        <v>3866</v>
      </c>
      <c r="J41" s="916">
        <v>55079</v>
      </c>
      <c r="K41" s="916">
        <v>15733</v>
      </c>
      <c r="L41" s="916">
        <v>40877</v>
      </c>
      <c r="M41" s="916">
        <v>16289</v>
      </c>
      <c r="N41" s="916">
        <v>11609</v>
      </c>
      <c r="O41" s="916">
        <v>10321</v>
      </c>
      <c r="P41" s="916">
        <v>60261</v>
      </c>
      <c r="Q41" s="256">
        <f>SUM(B41:P41)</f>
        <v>519118</v>
      </c>
      <c r="R41" s="916">
        <v>28319</v>
      </c>
      <c r="S41" s="42">
        <f>Q41+R41</f>
        <v>547437</v>
      </c>
      <c r="T41" s="916">
        <v>42109</v>
      </c>
      <c r="U41" s="42">
        <f>S41+T41</f>
        <v>589546</v>
      </c>
      <c r="V41" s="385" t="s">
        <v>2566</v>
      </c>
    </row>
    <row r="42" spans="1:22" ht="9.6" customHeight="1">
      <c r="A42" s="1174"/>
      <c r="B42" s="590">
        <f t="shared" ref="B42:S42" si="18">(B41/$S41)*100</f>
        <v>14.118884912784486</v>
      </c>
      <c r="C42" s="590">
        <f t="shared" si="18"/>
        <v>3.5958475587145191</v>
      </c>
      <c r="D42" s="590">
        <f t="shared" si="18"/>
        <v>1.4619033788362861</v>
      </c>
      <c r="E42" s="590">
        <f t="shared" si="18"/>
        <v>16.001110630081637</v>
      </c>
      <c r="F42" s="590">
        <f t="shared" si="18"/>
        <v>1.1478946435845585</v>
      </c>
      <c r="G42" s="590">
        <f t="shared" si="18"/>
        <v>6.1636316142314094</v>
      </c>
      <c r="H42" s="590">
        <f t="shared" si="18"/>
        <v>13.240062326806553</v>
      </c>
      <c r="I42" s="590">
        <f t="shared" si="18"/>
        <v>0.70619998282907448</v>
      </c>
      <c r="J42" s="590">
        <f t="shared" si="18"/>
        <v>10.061249056969112</v>
      </c>
      <c r="K42" s="590">
        <f t="shared" si="18"/>
        <v>2.8739380056517922</v>
      </c>
      <c r="L42" s="590">
        <f t="shared" si="18"/>
        <v>7.4669779353605987</v>
      </c>
      <c r="M42" s="590">
        <f t="shared" si="18"/>
        <v>2.9755022039065682</v>
      </c>
      <c r="N42" s="590">
        <f t="shared" si="18"/>
        <v>2.12060931212176</v>
      </c>
      <c r="O42" s="590">
        <f t="shared" si="18"/>
        <v>1.8853310974596162</v>
      </c>
      <c r="P42" s="590">
        <f t="shared" si="18"/>
        <v>11.007841998257334</v>
      </c>
      <c r="Q42" s="590">
        <f t="shared" si="18"/>
        <v>94.826984657595304</v>
      </c>
      <c r="R42" s="590">
        <f t="shared" si="18"/>
        <v>5.1730153424046961</v>
      </c>
      <c r="S42" s="590">
        <f t="shared" si="18"/>
        <v>100</v>
      </c>
      <c r="T42" s="534"/>
      <c r="U42" s="534"/>
      <c r="V42" s="544"/>
    </row>
    <row r="43" spans="1:22" ht="9.6" customHeight="1">
      <c r="A43" s="448" t="s">
        <v>2567</v>
      </c>
      <c r="B43" s="917">
        <v>79682</v>
      </c>
      <c r="C43" s="916">
        <v>20657</v>
      </c>
      <c r="D43" s="916">
        <v>8841</v>
      </c>
      <c r="E43" s="916">
        <v>93459</v>
      </c>
      <c r="F43" s="916">
        <v>6740</v>
      </c>
      <c r="G43" s="916">
        <v>35962</v>
      </c>
      <c r="H43" s="916">
        <v>76728</v>
      </c>
      <c r="I43" s="916">
        <v>4093</v>
      </c>
      <c r="J43" s="916">
        <v>59513</v>
      </c>
      <c r="K43" s="916">
        <v>15728</v>
      </c>
      <c r="L43" s="916">
        <v>42442</v>
      </c>
      <c r="M43" s="916">
        <v>17447</v>
      </c>
      <c r="N43" s="916">
        <v>12293</v>
      </c>
      <c r="O43" s="916">
        <v>10634</v>
      </c>
      <c r="P43" s="916">
        <v>62191</v>
      </c>
      <c r="Q43" s="256">
        <f>SUM(B43:P43)</f>
        <v>546410</v>
      </c>
      <c r="R43" s="916">
        <v>28646</v>
      </c>
      <c r="S43" s="42">
        <f>Q43+R43</f>
        <v>575056</v>
      </c>
      <c r="T43" s="916">
        <v>45558</v>
      </c>
      <c r="U43" s="42">
        <f>S43+T43</f>
        <v>620614</v>
      </c>
      <c r="V43" s="385" t="s">
        <v>2567</v>
      </c>
    </row>
    <row r="44" spans="1:22" ht="9.6" customHeight="1">
      <c r="A44" s="1174"/>
      <c r="B44" s="590">
        <f t="shared" ref="B44:S44" si="19">(B43/$S43)*100</f>
        <v>13.856389638574329</v>
      </c>
      <c r="C44" s="590">
        <f t="shared" si="19"/>
        <v>3.5921718928243509</v>
      </c>
      <c r="D44" s="590">
        <f t="shared" si="19"/>
        <v>1.5374154864917504</v>
      </c>
      <c r="E44" s="590">
        <f t="shared" si="19"/>
        <v>16.252156311733117</v>
      </c>
      <c r="F44" s="590">
        <f t="shared" si="19"/>
        <v>1.1720597646142288</v>
      </c>
      <c r="G44" s="590">
        <f t="shared" si="19"/>
        <v>6.2536518182576994</v>
      </c>
      <c r="H44" s="590">
        <f t="shared" si="19"/>
        <v>13.342700536991181</v>
      </c>
      <c r="I44" s="590">
        <f t="shared" si="19"/>
        <v>0.71175676803650434</v>
      </c>
      <c r="J44" s="590">
        <f t="shared" si="19"/>
        <v>10.34907904621463</v>
      </c>
      <c r="K44" s="590">
        <f t="shared" si="19"/>
        <v>2.73503797890988</v>
      </c>
      <c r="L44" s="590">
        <f t="shared" si="19"/>
        <v>7.3804985949194517</v>
      </c>
      <c r="M44" s="590">
        <f t="shared" si="19"/>
        <v>3.0339653877187613</v>
      </c>
      <c r="N44" s="590">
        <f t="shared" si="19"/>
        <v>2.1377048496146465</v>
      </c>
      <c r="O44" s="590">
        <f t="shared" si="19"/>
        <v>1.8492112072563367</v>
      </c>
      <c r="P44" s="590">
        <f t="shared" si="19"/>
        <v>10.81477282212515</v>
      </c>
      <c r="Q44" s="590">
        <f t="shared" si="19"/>
        <v>95.018572104282015</v>
      </c>
      <c r="R44" s="590">
        <f t="shared" si="19"/>
        <v>4.9814278957179825</v>
      </c>
      <c r="S44" s="590">
        <f t="shared" si="19"/>
        <v>100</v>
      </c>
      <c r="T44" s="534"/>
      <c r="U44" s="534"/>
      <c r="V44" s="544"/>
    </row>
    <row r="45" spans="1:22" ht="9.6" customHeight="1">
      <c r="A45" s="448" t="s">
        <v>2563</v>
      </c>
      <c r="B45" s="917">
        <v>84904</v>
      </c>
      <c r="C45" s="916">
        <v>21607</v>
      </c>
      <c r="D45" s="916">
        <v>9561</v>
      </c>
      <c r="E45" s="916">
        <v>99671</v>
      </c>
      <c r="F45" s="916">
        <v>7412</v>
      </c>
      <c r="G45" s="916">
        <v>38554</v>
      </c>
      <c r="H45" s="916">
        <v>81219</v>
      </c>
      <c r="I45" s="916">
        <v>4339</v>
      </c>
      <c r="J45" s="916">
        <v>64006</v>
      </c>
      <c r="K45" s="916">
        <v>16711</v>
      </c>
      <c r="L45" s="916">
        <v>44078</v>
      </c>
      <c r="M45" s="916">
        <v>18882</v>
      </c>
      <c r="N45" s="916">
        <v>12930</v>
      </c>
      <c r="O45" s="916">
        <v>11360</v>
      </c>
      <c r="P45" s="916">
        <v>64191</v>
      </c>
      <c r="Q45" s="256">
        <f>SUM(B45:P45)</f>
        <v>579425</v>
      </c>
      <c r="R45" s="916">
        <v>27672</v>
      </c>
      <c r="S45" s="42">
        <f>Q45+R45</f>
        <v>607097</v>
      </c>
      <c r="T45" s="916">
        <v>49143</v>
      </c>
      <c r="U45" s="42">
        <f>S45+T45</f>
        <v>656240</v>
      </c>
      <c r="V45" s="385" t="s">
        <v>2563</v>
      </c>
    </row>
    <row r="46" spans="1:22" ht="9.6" customHeight="1">
      <c r="A46" s="534"/>
      <c r="B46" s="590">
        <f t="shared" ref="B46:S46" si="20">(B45/$S45)*100</f>
        <v>13.98524453258705</v>
      </c>
      <c r="C46" s="590">
        <f t="shared" si="20"/>
        <v>3.5590688143739801</v>
      </c>
      <c r="D46" s="590">
        <f t="shared" si="20"/>
        <v>1.5748718903239516</v>
      </c>
      <c r="E46" s="590">
        <f t="shared" si="20"/>
        <v>16.417640014692875</v>
      </c>
      <c r="F46" s="590">
        <f t="shared" si="20"/>
        <v>1.2208922132706963</v>
      </c>
      <c r="G46" s="590">
        <f t="shared" si="20"/>
        <v>6.3505502415594215</v>
      </c>
      <c r="H46" s="590">
        <f t="shared" si="20"/>
        <v>13.378257510743751</v>
      </c>
      <c r="I46" s="590">
        <f t="shared" si="20"/>
        <v>0.71471280536718185</v>
      </c>
      <c r="J46" s="590">
        <f t="shared" si="20"/>
        <v>10.54296100952566</v>
      </c>
      <c r="K46" s="590">
        <f t="shared" si="20"/>
        <v>2.7526079028557215</v>
      </c>
      <c r="L46" s="590">
        <f t="shared" si="20"/>
        <v>7.2604542601923576</v>
      </c>
      <c r="M46" s="590">
        <f t="shared" si="20"/>
        <v>3.1102113830244589</v>
      </c>
      <c r="N46" s="590">
        <f t="shared" si="20"/>
        <v>2.1298079219630472</v>
      </c>
      <c r="O46" s="590">
        <f t="shared" si="20"/>
        <v>1.8712001541763508</v>
      </c>
      <c r="P46" s="590">
        <f t="shared" si="20"/>
        <v>10.573433899360399</v>
      </c>
      <c r="Q46" s="590">
        <f t="shared" si="20"/>
        <v>95.441914554016904</v>
      </c>
      <c r="R46" s="590">
        <f t="shared" si="20"/>
        <v>4.5580854459830968</v>
      </c>
      <c r="S46" s="590">
        <f t="shared" si="20"/>
        <v>100</v>
      </c>
      <c r="T46" s="534"/>
      <c r="U46" s="534"/>
      <c r="V46" s="534"/>
    </row>
    <row r="47" spans="1:22" ht="9.6" customHeight="1">
      <c r="A47" s="1040" t="s">
        <v>2358</v>
      </c>
      <c r="B47" s="916">
        <v>88206</v>
      </c>
      <c r="C47" s="916">
        <v>23051</v>
      </c>
      <c r="D47" s="916">
        <v>9907</v>
      </c>
      <c r="E47" s="916">
        <v>109651</v>
      </c>
      <c r="F47" s="916">
        <v>8402</v>
      </c>
      <c r="G47" s="916">
        <v>41235</v>
      </c>
      <c r="H47" s="916">
        <v>86650</v>
      </c>
      <c r="I47" s="916">
        <v>4608</v>
      </c>
      <c r="J47" s="916">
        <v>69409</v>
      </c>
      <c r="K47" s="916">
        <v>18456</v>
      </c>
      <c r="L47" s="916">
        <v>45790</v>
      </c>
      <c r="M47" s="916">
        <v>20552</v>
      </c>
      <c r="N47" s="916">
        <v>13659</v>
      </c>
      <c r="O47" s="916">
        <v>12080</v>
      </c>
      <c r="P47" s="916">
        <v>66265</v>
      </c>
      <c r="Q47" s="256">
        <f>SUM(B47:P47)</f>
        <v>617921</v>
      </c>
      <c r="R47" s="916">
        <v>28421</v>
      </c>
      <c r="S47" s="42">
        <f>Q47+R47</f>
        <v>646342</v>
      </c>
      <c r="T47" s="916">
        <v>51126</v>
      </c>
      <c r="U47" s="42">
        <f>S47+T47</f>
        <v>697468</v>
      </c>
      <c r="V47" s="1041" t="s">
        <v>2358</v>
      </c>
    </row>
    <row r="48" spans="1:22" ht="9.6" customHeight="1">
      <c r="A48" s="556"/>
      <c r="B48" s="590">
        <f t="shared" ref="B48:S48" si="21">(B47/$S47)*100</f>
        <v>13.646954708188543</v>
      </c>
      <c r="C48" s="590">
        <f t="shared" si="21"/>
        <v>3.5663781713086879</v>
      </c>
      <c r="D48" s="590">
        <f t="shared" si="21"/>
        <v>1.5327798595789845</v>
      </c>
      <c r="E48" s="590">
        <f t="shared" si="21"/>
        <v>16.964857614080472</v>
      </c>
      <c r="F48" s="590">
        <f t="shared" si="21"/>
        <v>1.2999309962837011</v>
      </c>
      <c r="G48" s="590">
        <f t="shared" si="21"/>
        <v>6.3797494205853873</v>
      </c>
      <c r="H48" s="590">
        <f t="shared" si="21"/>
        <v>13.406215285406178</v>
      </c>
      <c r="I48" s="590">
        <f t="shared" si="21"/>
        <v>0.71293525718582429</v>
      </c>
      <c r="J48" s="590">
        <f t="shared" si="21"/>
        <v>10.738742028214165</v>
      </c>
      <c r="K48" s="590">
        <f t="shared" si="21"/>
        <v>2.8554542332078063</v>
      </c>
      <c r="L48" s="590">
        <f t="shared" si="21"/>
        <v>7.0844846845787526</v>
      </c>
      <c r="M48" s="590">
        <f t="shared" si="21"/>
        <v>3.1797407564416362</v>
      </c>
      <c r="N48" s="590">
        <f t="shared" si="21"/>
        <v>2.11327749086397</v>
      </c>
      <c r="O48" s="590">
        <f t="shared" si="21"/>
        <v>1.8689795804697822</v>
      </c>
      <c r="P48" s="590">
        <f t="shared" si="21"/>
        <v>10.25231224336342</v>
      </c>
      <c r="Q48" s="590">
        <f t="shared" si="21"/>
        <v>95.602792329757307</v>
      </c>
      <c r="R48" s="590">
        <f t="shared" si="21"/>
        <v>4.3972076702426888</v>
      </c>
      <c r="S48" s="590">
        <f t="shared" si="21"/>
        <v>100</v>
      </c>
      <c r="T48" s="534"/>
      <c r="U48" s="534"/>
      <c r="V48" s="544"/>
    </row>
    <row r="49" spans="1:22" ht="9.6" customHeight="1">
      <c r="A49" s="1040" t="s">
        <v>2359</v>
      </c>
      <c r="B49" s="916">
        <v>90332</v>
      </c>
      <c r="C49" s="916">
        <v>24279</v>
      </c>
      <c r="D49" s="916">
        <v>10593</v>
      </c>
      <c r="E49" s="916">
        <v>120567</v>
      </c>
      <c r="F49" s="916">
        <v>9291</v>
      </c>
      <c r="G49" s="916">
        <v>44709</v>
      </c>
      <c r="H49" s="916">
        <v>92457</v>
      </c>
      <c r="I49" s="916">
        <v>4902</v>
      </c>
      <c r="J49" s="916">
        <v>75761</v>
      </c>
      <c r="K49" s="916">
        <v>21180</v>
      </c>
      <c r="L49" s="916">
        <v>47587</v>
      </c>
      <c r="M49" s="916">
        <v>22099</v>
      </c>
      <c r="N49" s="916">
        <v>14718</v>
      </c>
      <c r="O49" s="916">
        <v>12540</v>
      </c>
      <c r="P49" s="916">
        <v>68416</v>
      </c>
      <c r="Q49" s="256">
        <f>SUM(B49:P49)</f>
        <v>659431</v>
      </c>
      <c r="R49" s="916">
        <v>29062</v>
      </c>
      <c r="S49" s="42">
        <f>Q49+R49</f>
        <v>688493</v>
      </c>
      <c r="T49" s="916">
        <v>58267</v>
      </c>
      <c r="U49" s="42">
        <f>S49+T49</f>
        <v>746760</v>
      </c>
      <c r="V49" s="1041" t="s">
        <v>2359</v>
      </c>
    </row>
    <row r="50" spans="1:22" ht="9.6" customHeight="1">
      <c r="A50" s="556"/>
      <c r="B50" s="590">
        <f t="shared" ref="B50:S50" si="22">(B49/$S49)*100</f>
        <v>13.120249588594218</v>
      </c>
      <c r="C50" s="590">
        <f t="shared" si="22"/>
        <v>3.5263975087618902</v>
      </c>
      <c r="D50" s="590">
        <f t="shared" si="22"/>
        <v>1.5385777342689033</v>
      </c>
      <c r="E50" s="590">
        <f t="shared" si="22"/>
        <v>17.511724883186901</v>
      </c>
      <c r="F50" s="590">
        <f t="shared" si="22"/>
        <v>1.3494690577827226</v>
      </c>
      <c r="G50" s="590">
        <f t="shared" si="22"/>
        <v>6.4937479393399791</v>
      </c>
      <c r="H50" s="590">
        <f t="shared" si="22"/>
        <v>13.428894701906918</v>
      </c>
      <c r="I50" s="590">
        <f t="shared" si="22"/>
        <v>0.71198980962769409</v>
      </c>
      <c r="J50" s="590">
        <f t="shared" si="22"/>
        <v>11.003888202203944</v>
      </c>
      <c r="K50" s="590">
        <f t="shared" si="22"/>
        <v>3.0762839999825706</v>
      </c>
      <c r="L50" s="590">
        <f t="shared" si="22"/>
        <v>6.9117623563347772</v>
      </c>
      <c r="M50" s="590">
        <f t="shared" si="22"/>
        <v>3.2097639336928627</v>
      </c>
      <c r="N50" s="590">
        <f t="shared" si="22"/>
        <v>2.1377123659935542</v>
      </c>
      <c r="O50" s="590">
        <f t="shared" si="22"/>
        <v>1.8213692804429384</v>
      </c>
      <c r="P50" s="590">
        <f t="shared" si="22"/>
        <v>9.9370654458360512</v>
      </c>
      <c r="Q50" s="590">
        <f t="shared" si="22"/>
        <v>95.778896807955931</v>
      </c>
      <c r="R50" s="590">
        <f t="shared" si="22"/>
        <v>4.2211031920440734</v>
      </c>
      <c r="S50" s="590">
        <f t="shared" si="22"/>
        <v>100</v>
      </c>
      <c r="T50" s="534"/>
      <c r="U50" s="534"/>
      <c r="V50" s="544"/>
    </row>
    <row r="51" spans="1:22" ht="9.6" customHeight="1">
      <c r="A51" s="1040" t="s">
        <v>2308</v>
      </c>
      <c r="B51" s="916">
        <v>91656</v>
      </c>
      <c r="C51" s="916">
        <v>25779</v>
      </c>
      <c r="D51" s="916">
        <v>11584</v>
      </c>
      <c r="E51" s="916">
        <v>132994</v>
      </c>
      <c r="F51" s="916">
        <v>10126</v>
      </c>
      <c r="G51" s="916">
        <v>48305</v>
      </c>
      <c r="H51" s="916">
        <v>98173</v>
      </c>
      <c r="I51" s="916">
        <v>5220</v>
      </c>
      <c r="J51" s="916">
        <v>80514</v>
      </c>
      <c r="K51" s="916">
        <v>23110</v>
      </c>
      <c r="L51" s="916">
        <v>49509</v>
      </c>
      <c r="M51" s="916">
        <v>23542</v>
      </c>
      <c r="N51" s="916">
        <v>15645</v>
      </c>
      <c r="O51" s="916">
        <v>13137</v>
      </c>
      <c r="P51" s="916">
        <v>70642</v>
      </c>
      <c r="Q51" s="256">
        <f>SUM(B51:P51)</f>
        <v>699936</v>
      </c>
      <c r="R51" s="916">
        <v>29960</v>
      </c>
      <c r="S51" s="42">
        <f>Q51+R51</f>
        <v>729896</v>
      </c>
      <c r="T51" s="916">
        <v>58705</v>
      </c>
      <c r="U51" s="42">
        <f>S51+T51</f>
        <v>788601</v>
      </c>
      <c r="V51" s="1041" t="s">
        <v>2308</v>
      </c>
    </row>
    <row r="52" spans="1:22" ht="9.6" customHeight="1">
      <c r="A52" s="556"/>
      <c r="B52" s="590">
        <f t="shared" ref="B52:S52" si="23">(B51/$S51)*100</f>
        <v>12.55740543858303</v>
      </c>
      <c r="C52" s="590">
        <f t="shared" si="23"/>
        <v>3.531873033966483</v>
      </c>
      <c r="D52" s="590">
        <f t="shared" si="23"/>
        <v>1.5870754189637977</v>
      </c>
      <c r="E52" s="590">
        <f t="shared" si="23"/>
        <v>18.220952026042067</v>
      </c>
      <c r="F52" s="590">
        <f t="shared" si="23"/>
        <v>1.3873209333932506</v>
      </c>
      <c r="G52" s="590">
        <f t="shared" si="23"/>
        <v>6.6180661354494337</v>
      </c>
      <c r="H52" s="590">
        <f t="shared" si="23"/>
        <v>13.450272367570173</v>
      </c>
      <c r="I52" s="590">
        <f t="shared" si="23"/>
        <v>0.71517038043776104</v>
      </c>
      <c r="J52" s="590">
        <f t="shared" si="23"/>
        <v>11.03088659206243</v>
      </c>
      <c r="K52" s="590">
        <f t="shared" si="23"/>
        <v>3.1662045003671757</v>
      </c>
      <c r="L52" s="590">
        <f t="shared" si="23"/>
        <v>6.7830211427381437</v>
      </c>
      <c r="M52" s="590">
        <f t="shared" si="23"/>
        <v>3.2253910146103006</v>
      </c>
      <c r="N52" s="590">
        <f t="shared" si="23"/>
        <v>2.1434560540131744</v>
      </c>
      <c r="O52" s="590">
        <f t="shared" si="23"/>
        <v>1.7998454574350318</v>
      </c>
      <c r="P52" s="590">
        <f t="shared" si="23"/>
        <v>9.6783651369510171</v>
      </c>
      <c r="Q52" s="590">
        <f t="shared" si="23"/>
        <v>95.895305632583273</v>
      </c>
      <c r="R52" s="590">
        <f t="shared" si="23"/>
        <v>4.1046943674167284</v>
      </c>
      <c r="S52" s="590">
        <f t="shared" si="23"/>
        <v>100</v>
      </c>
      <c r="T52" s="534"/>
      <c r="U52" s="534"/>
      <c r="V52" s="544"/>
    </row>
    <row r="53" spans="1:22" ht="9.75" customHeight="1">
      <c r="A53" s="1044" t="s">
        <v>2557</v>
      </c>
      <c r="B53" s="916">
        <v>95151</v>
      </c>
      <c r="C53" s="916">
        <v>27419</v>
      </c>
      <c r="D53" s="916">
        <v>12127</v>
      </c>
      <c r="E53" s="916">
        <v>144653</v>
      </c>
      <c r="F53" s="916">
        <v>10585</v>
      </c>
      <c r="G53" s="916">
        <v>52209</v>
      </c>
      <c r="H53" s="916">
        <v>104776</v>
      </c>
      <c r="I53" s="916">
        <v>5570</v>
      </c>
      <c r="J53" s="916">
        <v>85382</v>
      </c>
      <c r="K53" s="916">
        <v>24790</v>
      </c>
      <c r="L53" s="916">
        <v>51615</v>
      </c>
      <c r="M53" s="916">
        <v>25165</v>
      </c>
      <c r="N53" s="916">
        <v>16781</v>
      </c>
      <c r="O53" s="916">
        <v>13802</v>
      </c>
      <c r="P53" s="916">
        <v>72955</v>
      </c>
      <c r="Q53" s="256">
        <f>SUM(B53:P53)</f>
        <v>742980</v>
      </c>
      <c r="R53" s="916">
        <v>31156</v>
      </c>
      <c r="S53" s="42">
        <f>Q53+R53</f>
        <v>774136</v>
      </c>
      <c r="T53" s="916">
        <v>51592</v>
      </c>
      <c r="U53" s="42">
        <f>S53+T53</f>
        <v>825728</v>
      </c>
      <c r="V53" s="1043" t="s">
        <v>2557</v>
      </c>
    </row>
    <row r="54" spans="1:22" ht="9.9499999999999993" customHeight="1">
      <c r="A54" s="534"/>
      <c r="B54" s="590">
        <f t="shared" ref="B54:S54" si="24">(B53/$S53)*100</f>
        <v>12.291251149668792</v>
      </c>
      <c r="C54" s="590">
        <f t="shared" si="24"/>
        <v>3.5418841133857617</v>
      </c>
      <c r="D54" s="590">
        <f t="shared" si="24"/>
        <v>1.5665206113654448</v>
      </c>
      <c r="E54" s="590">
        <f t="shared" si="24"/>
        <v>18.685734806287268</v>
      </c>
      <c r="F54" s="590">
        <f t="shared" si="24"/>
        <v>1.3673308049231658</v>
      </c>
      <c r="G54" s="590">
        <f t="shared" si="24"/>
        <v>6.7441638161770028</v>
      </c>
      <c r="H54" s="590">
        <f t="shared" si="24"/>
        <v>13.53457273657342</v>
      </c>
      <c r="I54" s="590">
        <f t="shared" si="24"/>
        <v>0.71951181704506706</v>
      </c>
      <c r="J54" s="590">
        <f t="shared" si="24"/>
        <v>11.029328180061384</v>
      </c>
      <c r="K54" s="590">
        <f t="shared" si="24"/>
        <v>3.2022797027912406</v>
      </c>
      <c r="L54" s="590">
        <f t="shared" si="24"/>
        <v>6.6674331125280322</v>
      </c>
      <c r="M54" s="590">
        <f t="shared" si="24"/>
        <v>3.2507208035797328</v>
      </c>
      <c r="N54" s="590">
        <f t="shared" si="24"/>
        <v>2.1677069662178221</v>
      </c>
      <c r="O54" s="590">
        <f t="shared" si="24"/>
        <v>1.7828908615540422</v>
      </c>
      <c r="P54" s="590">
        <f t="shared" si="24"/>
        <v>9.4240546880651461</v>
      </c>
      <c r="Q54" s="590">
        <f t="shared" si="24"/>
        <v>95.975384170223322</v>
      </c>
      <c r="R54" s="590">
        <f t="shared" si="24"/>
        <v>4.0246158297766801</v>
      </c>
      <c r="S54" s="590">
        <f t="shared" si="24"/>
        <v>100</v>
      </c>
      <c r="T54" s="534"/>
      <c r="U54" s="534"/>
      <c r="V54" s="544"/>
    </row>
    <row r="55" spans="1:22" ht="10.5" customHeight="1">
      <c r="A55" s="1044" t="s">
        <v>2729</v>
      </c>
      <c r="B55" s="916">
        <v>97480</v>
      </c>
      <c r="C55" s="916">
        <v>29170</v>
      </c>
      <c r="D55" s="916">
        <v>13290</v>
      </c>
      <c r="E55" s="916">
        <v>159568</v>
      </c>
      <c r="F55" s="916">
        <v>11243</v>
      </c>
      <c r="G55" s="916">
        <v>56698</v>
      </c>
      <c r="H55" s="916">
        <v>111426</v>
      </c>
      <c r="I55" s="916">
        <v>5950</v>
      </c>
      <c r="J55" s="916">
        <v>90475</v>
      </c>
      <c r="K55" s="916">
        <v>26719</v>
      </c>
      <c r="L55" s="916">
        <v>53888</v>
      </c>
      <c r="M55" s="916">
        <v>27637</v>
      </c>
      <c r="N55" s="916">
        <v>18125</v>
      </c>
      <c r="O55" s="916">
        <v>14517</v>
      </c>
      <c r="P55" s="916">
        <v>75352</v>
      </c>
      <c r="Q55" s="256">
        <f>SUM(B55:P55)</f>
        <v>791538</v>
      </c>
      <c r="R55" s="916">
        <v>33324</v>
      </c>
      <c r="S55" s="42">
        <f>Q55+R55</f>
        <v>824862</v>
      </c>
      <c r="T55" s="916">
        <v>53548</v>
      </c>
      <c r="U55" s="42">
        <f>S55+T55</f>
        <v>878410</v>
      </c>
      <c r="V55" s="1043" t="s">
        <v>2729</v>
      </c>
    </row>
    <row r="56" spans="1:22" ht="9" customHeight="1">
      <c r="A56" s="534"/>
      <c r="B56" s="590">
        <f t="shared" ref="B56:S58" si="25">(B55/$S55)*100</f>
        <v>11.817734360414226</v>
      </c>
      <c r="C56" s="590">
        <f t="shared" si="25"/>
        <v>3.5363491105178806</v>
      </c>
      <c r="D56" s="590">
        <f t="shared" si="25"/>
        <v>1.6111785971471591</v>
      </c>
      <c r="E56" s="590">
        <f t="shared" si="25"/>
        <v>19.344811616973505</v>
      </c>
      <c r="F56" s="590">
        <f t="shared" si="25"/>
        <v>1.3630158741704674</v>
      </c>
      <c r="G56" s="590">
        <f t="shared" si="25"/>
        <v>6.8736346200940286</v>
      </c>
      <c r="H56" s="590">
        <f t="shared" si="25"/>
        <v>13.50844141201801</v>
      </c>
      <c r="I56" s="590">
        <f t="shared" si="25"/>
        <v>0.72133278051358896</v>
      </c>
      <c r="J56" s="590">
        <f t="shared" si="25"/>
        <v>10.968501397809574</v>
      </c>
      <c r="K56" s="590">
        <f t="shared" si="25"/>
        <v>3.2392084979063167</v>
      </c>
      <c r="L56" s="590">
        <f t="shared" si="25"/>
        <v>6.5329715758514766</v>
      </c>
      <c r="M56" s="590">
        <f t="shared" si="25"/>
        <v>3.350499841185556</v>
      </c>
      <c r="N56" s="590">
        <f t="shared" si="25"/>
        <v>2.197337251564504</v>
      </c>
      <c r="O56" s="590">
        <f t="shared" si="25"/>
        <v>1.7599307520530707</v>
      </c>
      <c r="P56" s="590">
        <f t="shared" si="25"/>
        <v>9.1351038113041927</v>
      </c>
      <c r="Q56" s="590">
        <f t="shared" si="25"/>
        <v>95.960051499523559</v>
      </c>
      <c r="R56" s="590">
        <f t="shared" si="25"/>
        <v>4.0399485004764433</v>
      </c>
      <c r="S56" s="590">
        <f t="shared" si="25"/>
        <v>100</v>
      </c>
      <c r="T56" s="534"/>
      <c r="U56" s="534"/>
      <c r="V56" s="544"/>
    </row>
    <row r="57" spans="1:22" ht="10.5" customHeight="1">
      <c r="A57" s="1040" t="s">
        <v>2905</v>
      </c>
      <c r="B57" s="916">
        <v>99228</v>
      </c>
      <c r="C57" s="916">
        <v>30950</v>
      </c>
      <c r="D57" s="916">
        <v>14997</v>
      </c>
      <c r="E57" s="916">
        <v>178223</v>
      </c>
      <c r="F57" s="916">
        <v>12742</v>
      </c>
      <c r="G57" s="916">
        <v>61552</v>
      </c>
      <c r="H57" s="916">
        <v>118665</v>
      </c>
      <c r="I57" s="916">
        <v>6366</v>
      </c>
      <c r="J57" s="916">
        <v>95972</v>
      </c>
      <c r="K57" s="916">
        <v>28787</v>
      </c>
      <c r="L57" s="916">
        <v>56297</v>
      </c>
      <c r="M57" s="916">
        <v>30796</v>
      </c>
      <c r="N57" s="916">
        <v>20248</v>
      </c>
      <c r="O57" s="916">
        <v>15612</v>
      </c>
      <c r="P57" s="916">
        <v>77838</v>
      </c>
      <c r="Q57" s="256">
        <f>SUM(B57:P57)</f>
        <v>848273</v>
      </c>
      <c r="R57" s="916">
        <v>35266</v>
      </c>
      <c r="S57" s="42">
        <f>Q57+R57</f>
        <v>883539</v>
      </c>
      <c r="T57" s="916">
        <v>50891</v>
      </c>
      <c r="U57" s="42">
        <f>S57+T57</f>
        <v>934430</v>
      </c>
      <c r="V57" s="1041" t="s">
        <v>2905</v>
      </c>
    </row>
    <row r="58" spans="1:22" ht="10.5" customHeight="1" thickBot="1">
      <c r="A58" s="645"/>
      <c r="B58" s="649">
        <f t="shared" si="25"/>
        <v>11.230743634406631</v>
      </c>
      <c r="C58" s="649">
        <f t="shared" si="25"/>
        <v>3.5029579905357884</v>
      </c>
      <c r="D58" s="649">
        <f t="shared" si="25"/>
        <v>1.6973783839762593</v>
      </c>
      <c r="E58" s="649">
        <f t="shared" si="25"/>
        <v>20.171492146922773</v>
      </c>
      <c r="F58" s="649">
        <f t="shared" si="25"/>
        <v>1.4421547888661395</v>
      </c>
      <c r="G58" s="649">
        <f t="shared" si="25"/>
        <v>6.9665289251521436</v>
      </c>
      <c r="H58" s="649">
        <f t="shared" si="25"/>
        <v>13.430646524941173</v>
      </c>
      <c r="I58" s="649">
        <f t="shared" si="25"/>
        <v>0.7205114884572158</v>
      </c>
      <c r="J58" s="649">
        <f t="shared" si="25"/>
        <v>10.862225662930555</v>
      </c>
      <c r="K58" s="649">
        <f t="shared" si="25"/>
        <v>3.2581470653813809</v>
      </c>
      <c r="L58" s="649">
        <f t="shared" si="25"/>
        <v>6.3717617445296693</v>
      </c>
      <c r="M58" s="649">
        <f t="shared" si="25"/>
        <v>3.4855280864794875</v>
      </c>
      <c r="N58" s="649">
        <f t="shared" si="25"/>
        <v>2.2916928398180501</v>
      </c>
      <c r="O58" s="649">
        <f t="shared" si="25"/>
        <v>1.7669848190062918</v>
      </c>
      <c r="P58" s="649">
        <f t="shared" si="25"/>
        <v>8.8097978697035444</v>
      </c>
      <c r="Q58" s="649">
        <f t="shared" si="25"/>
        <v>96.00855197110711</v>
      </c>
      <c r="R58" s="649">
        <f t="shared" si="25"/>
        <v>3.9914480288928953</v>
      </c>
      <c r="S58" s="649">
        <f t="shared" si="25"/>
        <v>100</v>
      </c>
      <c r="T58" s="645"/>
      <c r="U58" s="645"/>
      <c r="V58" s="1039"/>
    </row>
    <row r="59" spans="1:22" ht="11.25" customHeight="1">
      <c r="A59" s="124" t="s">
        <v>798</v>
      </c>
      <c r="B59" s="2018" t="s">
        <v>799</v>
      </c>
      <c r="C59" s="2018"/>
      <c r="D59" s="2018"/>
      <c r="E59" s="2018"/>
      <c r="F59" s="2018"/>
      <c r="G59" s="2018"/>
      <c r="H59" s="2018"/>
      <c r="I59" s="2018"/>
      <c r="J59" s="2018"/>
      <c r="K59" s="2018"/>
      <c r="L59" s="124" t="s">
        <v>800</v>
      </c>
      <c r="M59" s="2016" t="s">
        <v>795</v>
      </c>
      <c r="N59" s="2017"/>
      <c r="O59" s="2017"/>
      <c r="P59" s="2017"/>
      <c r="Q59" s="2017"/>
      <c r="R59" s="2017"/>
      <c r="S59" s="2017"/>
      <c r="T59" s="2017"/>
      <c r="U59" s="2017"/>
      <c r="V59" s="2017"/>
    </row>
    <row r="60" spans="1:22" ht="10.5" customHeight="1">
      <c r="B60" s="2013" t="s">
        <v>2907</v>
      </c>
      <c r="C60" s="2014"/>
      <c r="D60" s="2014"/>
      <c r="E60" s="2014"/>
      <c r="F60" s="2014"/>
      <c r="G60" s="2014"/>
      <c r="H60" s="2014"/>
      <c r="I60" s="2014"/>
      <c r="J60" s="2014"/>
      <c r="K60" s="2014"/>
      <c r="M60" s="2012"/>
      <c r="N60" s="2012"/>
      <c r="O60" s="2012"/>
    </row>
  </sheetData>
  <mergeCells count="11">
    <mergeCell ref="B60:K60"/>
    <mergeCell ref="A1:K1"/>
    <mergeCell ref="U1:V1"/>
    <mergeCell ref="J2:K2"/>
    <mergeCell ref="U2:V2"/>
    <mergeCell ref="L1:T1"/>
    <mergeCell ref="M60:O60"/>
    <mergeCell ref="M59:V59"/>
    <mergeCell ref="V3:V4"/>
    <mergeCell ref="A3:A4"/>
    <mergeCell ref="B59:K59"/>
  </mergeCells>
  <phoneticPr fontId="47" type="noConversion"/>
  <pageMargins left="0.62992125984252001" right="0.511811023622047" top="0.511811023622047" bottom="0.511811023622047" header="0.25" footer="0"/>
  <pageSetup paperSize="512" firstPageNumber="48" orientation="portrait" useFirstPageNumber="1" r:id="rId1"/>
  <headerFooter>
    <oddFooter>&amp;C&amp;"Times New Roman,Regular"&amp;8&amp;P</oddFooter>
  </headerFooter>
  <ignoredErrors>
    <ignoredError sqref="Q7:S34 Q47:Q53 Q36:S36 Q35 S35 S47:S53" 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>
  <dimension ref="A1:X76"/>
  <sheetViews>
    <sheetView zoomScaleNormal="100" workbookViewId="0">
      <pane xSplit="1" ySplit="5" topLeftCell="B48" activePane="bottomRight" state="frozen"/>
      <selection pane="topRight" activeCell="B1" sqref="B1"/>
      <selection pane="bottomLeft" activeCell="A6" sqref="A6"/>
      <selection pane="bottomRight" activeCell="H71" sqref="H71"/>
    </sheetView>
  </sheetViews>
  <sheetFormatPr defaultColWidth="9.140625" defaultRowHeight="11.25"/>
  <cols>
    <col min="1" max="1" width="8.5703125" style="10" customWidth="1"/>
    <col min="2" max="2" width="7.140625" style="10" customWidth="1"/>
    <col min="3" max="3" width="7.28515625" style="10" customWidth="1"/>
    <col min="4" max="4" width="7.42578125" style="10" customWidth="1"/>
    <col min="5" max="5" width="7.7109375" style="10" customWidth="1"/>
    <col min="6" max="6" width="7" style="10" customWidth="1"/>
    <col min="7" max="7" width="6.5703125" style="10" customWidth="1"/>
    <col min="8" max="9" width="7.28515625" style="10" customWidth="1"/>
    <col min="10" max="10" width="7.42578125" style="10" customWidth="1"/>
    <col min="11" max="11" width="7.5703125" style="10" customWidth="1"/>
    <col min="12" max="12" width="7.7109375" style="10" customWidth="1"/>
    <col min="13" max="13" width="7" style="10" customWidth="1"/>
    <col min="14" max="14" width="7.28515625" style="10" customWidth="1"/>
    <col min="15" max="16" width="7.140625" style="10" customWidth="1"/>
    <col min="17" max="17" width="7" style="10" customWidth="1"/>
    <col min="18" max="18" width="7.28515625" style="10" customWidth="1"/>
    <col min="19" max="19" width="7.85546875" style="10" customWidth="1"/>
    <col min="20" max="20" width="4.5703125" style="10" hidden="1" customWidth="1"/>
    <col min="21" max="21" width="7.42578125" style="10" customWidth="1"/>
    <col min="22" max="22" width="7" style="10" customWidth="1"/>
    <col min="23" max="23" width="6.85546875" style="10" customWidth="1"/>
    <col min="24" max="16384" width="9.140625" style="10"/>
  </cols>
  <sheetData>
    <row r="1" spans="1:24" s="50" customFormat="1" ht="14.25" customHeight="1">
      <c r="B1" s="1729" t="s">
        <v>583</v>
      </c>
      <c r="C1" s="1729"/>
      <c r="D1" s="1729"/>
      <c r="E1" s="1729"/>
      <c r="F1" s="1729"/>
      <c r="G1" s="1729"/>
      <c r="H1" s="1729"/>
      <c r="I1" s="1729"/>
      <c r="J1" s="1729"/>
      <c r="K1" s="1729"/>
      <c r="L1" s="2009" t="s">
        <v>584</v>
      </c>
      <c r="M1" s="2009"/>
      <c r="N1" s="2009"/>
      <c r="O1" s="2009"/>
      <c r="P1" s="51"/>
      <c r="Q1" s="51"/>
      <c r="R1" s="51"/>
      <c r="U1" s="1729" t="s">
        <v>2448</v>
      </c>
      <c r="V1" s="1729"/>
      <c r="W1" s="1729"/>
    </row>
    <row r="2" spans="1:24" ht="12" customHeight="1">
      <c r="B2" s="23"/>
      <c r="C2" s="23"/>
      <c r="D2" s="2020"/>
      <c r="E2" s="2020"/>
      <c r="F2" s="158"/>
      <c r="G2" s="158"/>
      <c r="H2" s="158"/>
      <c r="I2" s="158"/>
      <c r="J2" s="2021" t="s">
        <v>370</v>
      </c>
      <c r="K2" s="2021"/>
      <c r="L2" s="164" t="s">
        <v>886</v>
      </c>
      <c r="M2" s="49"/>
      <c r="N2" s="49"/>
      <c r="S2" s="23"/>
      <c r="T2" s="23"/>
      <c r="V2" s="2022" t="s">
        <v>817</v>
      </c>
      <c r="W2" s="2022"/>
    </row>
    <row r="3" spans="1:24" ht="13.5" customHeight="1">
      <c r="A3" s="1769" t="s">
        <v>1132</v>
      </c>
      <c r="B3" s="2019" t="s">
        <v>585</v>
      </c>
      <c r="C3" s="2019" t="s">
        <v>586</v>
      </c>
      <c r="D3" s="2019" t="s">
        <v>587</v>
      </c>
      <c r="E3" s="2019" t="s">
        <v>802</v>
      </c>
      <c r="F3" s="2019" t="s">
        <v>803</v>
      </c>
      <c r="G3" s="2019" t="s">
        <v>820</v>
      </c>
      <c r="H3" s="2019" t="s">
        <v>588</v>
      </c>
      <c r="I3" s="2019" t="s">
        <v>589</v>
      </c>
      <c r="J3" s="2019" t="s">
        <v>590</v>
      </c>
      <c r="K3" s="2019" t="s">
        <v>2908</v>
      </c>
      <c r="L3" s="2019" t="s">
        <v>818</v>
      </c>
      <c r="M3" s="2019" t="s">
        <v>591</v>
      </c>
      <c r="N3" s="2019" t="s">
        <v>592</v>
      </c>
      <c r="O3" s="2019" t="s">
        <v>1802</v>
      </c>
      <c r="P3" s="2019" t="s">
        <v>805</v>
      </c>
      <c r="Q3" s="2019" t="s">
        <v>1804</v>
      </c>
      <c r="R3" s="2019" t="s">
        <v>1807</v>
      </c>
      <c r="S3" s="2030" t="s">
        <v>593</v>
      </c>
      <c r="T3" s="2031"/>
      <c r="U3" s="2031"/>
      <c r="V3" s="2031"/>
      <c r="W3" s="2032"/>
    </row>
    <row r="4" spans="1:24" s="159" customFormat="1" ht="74.25" customHeight="1">
      <c r="A4" s="1770"/>
      <c r="B4" s="2019"/>
      <c r="C4" s="2019"/>
      <c r="D4" s="2019"/>
      <c r="E4" s="2019"/>
      <c r="F4" s="2019"/>
      <c r="G4" s="2019"/>
      <c r="H4" s="2019"/>
      <c r="I4" s="2019"/>
      <c r="J4" s="2019"/>
      <c r="K4" s="2019"/>
      <c r="L4" s="2019"/>
      <c r="M4" s="2019"/>
      <c r="N4" s="2019"/>
      <c r="O4" s="2019"/>
      <c r="P4" s="2019"/>
      <c r="Q4" s="2019"/>
      <c r="R4" s="2019"/>
      <c r="S4" s="2033" t="s">
        <v>585</v>
      </c>
      <c r="T4" s="2034"/>
      <c r="U4" s="155" t="s">
        <v>591</v>
      </c>
      <c r="V4" s="1535" t="s">
        <v>594</v>
      </c>
      <c r="W4" s="1535" t="s">
        <v>804</v>
      </c>
    </row>
    <row r="5" spans="1:24" s="163" customFormat="1" ht="9.75" customHeight="1">
      <c r="A5" s="1771"/>
      <c r="B5" s="162">
        <v>1</v>
      </c>
      <c r="C5" s="162">
        <v>2</v>
      </c>
      <c r="D5" s="162">
        <v>3</v>
      </c>
      <c r="E5" s="162">
        <v>4</v>
      </c>
      <c r="F5" s="162">
        <v>5</v>
      </c>
      <c r="G5" s="162">
        <v>6</v>
      </c>
      <c r="H5" s="162">
        <v>7</v>
      </c>
      <c r="I5" s="162">
        <v>8</v>
      </c>
      <c r="J5" s="162">
        <v>9</v>
      </c>
      <c r="K5" s="162">
        <v>10</v>
      </c>
      <c r="L5" s="162">
        <v>11</v>
      </c>
      <c r="M5" s="162">
        <v>12</v>
      </c>
      <c r="N5" s="162">
        <v>13</v>
      </c>
      <c r="O5" s="162">
        <v>14</v>
      </c>
      <c r="P5" s="162">
        <v>15</v>
      </c>
      <c r="Q5" s="162">
        <v>16</v>
      </c>
      <c r="R5" s="162">
        <v>17</v>
      </c>
      <c r="S5" s="2035">
        <v>18</v>
      </c>
      <c r="T5" s="2035"/>
      <c r="U5" s="162">
        <v>19</v>
      </c>
      <c r="V5" s="162">
        <v>20</v>
      </c>
      <c r="W5" s="162">
        <v>21</v>
      </c>
    </row>
    <row r="6" spans="1:24" s="90" customFormat="1" ht="9.6" customHeight="1">
      <c r="A6" s="8" t="s">
        <v>1197</v>
      </c>
      <c r="B6" s="1196">
        <v>180701</v>
      </c>
      <c r="C6" s="1196">
        <v>186547</v>
      </c>
      <c r="D6" s="1196">
        <v>4405</v>
      </c>
      <c r="E6" s="1196">
        <v>190952</v>
      </c>
      <c r="F6" s="1196">
        <v>151963</v>
      </c>
      <c r="G6" s="1196" t="s">
        <v>598</v>
      </c>
      <c r="H6" s="1196">
        <v>28738</v>
      </c>
      <c r="I6" s="1196">
        <v>38989</v>
      </c>
      <c r="J6" s="1196">
        <v>21.58</v>
      </c>
      <c r="K6" s="1196">
        <v>37447</v>
      </c>
      <c r="L6" s="1196">
        <v>20.72</v>
      </c>
      <c r="M6" s="1196">
        <v>175285</v>
      </c>
      <c r="N6" s="1196">
        <v>180956</v>
      </c>
      <c r="O6" s="1196">
        <v>8.64</v>
      </c>
      <c r="P6" s="1196">
        <v>5.39</v>
      </c>
      <c r="Q6" s="1196">
        <v>103</v>
      </c>
      <c r="R6" s="1196">
        <v>12.43</v>
      </c>
      <c r="S6" s="2023">
        <v>14538</v>
      </c>
      <c r="T6" s="2023"/>
      <c r="U6" s="1196">
        <v>14102</v>
      </c>
      <c r="V6" s="1196">
        <v>15008</v>
      </c>
      <c r="W6" s="1196">
        <v>14558</v>
      </c>
      <c r="X6" s="457"/>
    </row>
    <row r="7" spans="1:24" s="460" customFormat="1" ht="9" customHeight="1">
      <c r="A7" s="594"/>
      <c r="B7" s="1197" t="s">
        <v>599</v>
      </c>
      <c r="C7" s="1197" t="s">
        <v>600</v>
      </c>
      <c r="D7" s="1197" t="s">
        <v>601</v>
      </c>
      <c r="E7" s="1197" t="s">
        <v>602</v>
      </c>
      <c r="F7" s="1197" t="s">
        <v>603</v>
      </c>
      <c r="G7" s="1197"/>
      <c r="H7" s="1197" t="s">
        <v>604</v>
      </c>
      <c r="I7" s="1197" t="s">
        <v>605</v>
      </c>
      <c r="J7" s="1197"/>
      <c r="K7" s="1197" t="s">
        <v>606</v>
      </c>
      <c r="L7" s="1197"/>
      <c r="M7" s="1197"/>
      <c r="N7" s="1197"/>
      <c r="O7" s="1197"/>
      <c r="P7" s="1197"/>
      <c r="Q7" s="1197"/>
      <c r="R7" s="1197"/>
      <c r="S7" s="2024" t="s">
        <v>607</v>
      </c>
      <c r="T7" s="2024"/>
      <c r="U7" s="1197"/>
      <c r="V7" s="1197" t="s">
        <v>608</v>
      </c>
      <c r="W7" s="1197"/>
      <c r="X7" s="459"/>
    </row>
    <row r="8" spans="1:24" s="90" customFormat="1" ht="9.6" customHeight="1">
      <c r="A8" s="8" t="s">
        <v>1198</v>
      </c>
      <c r="B8" s="1196">
        <v>200177</v>
      </c>
      <c r="C8" s="1196">
        <v>206674</v>
      </c>
      <c r="D8" s="1196">
        <v>2236</v>
      </c>
      <c r="E8" s="1196">
        <v>208910</v>
      </c>
      <c r="F8" s="1196">
        <v>165323</v>
      </c>
      <c r="G8" s="1196">
        <v>82.59</v>
      </c>
      <c r="H8" s="1196" t="s">
        <v>609</v>
      </c>
      <c r="I8" s="1196">
        <v>43587</v>
      </c>
      <c r="J8" s="1196">
        <v>21.77</v>
      </c>
      <c r="K8" s="1196">
        <v>43303</v>
      </c>
      <c r="L8" s="1196">
        <v>21.63</v>
      </c>
      <c r="M8" s="1196">
        <v>184448</v>
      </c>
      <c r="N8" s="1196">
        <v>190435</v>
      </c>
      <c r="O8" s="1196">
        <v>10.78</v>
      </c>
      <c r="P8" s="1196">
        <v>5.23</v>
      </c>
      <c r="Q8" s="1196">
        <v>109</v>
      </c>
      <c r="R8" s="1196">
        <v>12.65</v>
      </c>
      <c r="S8" s="2023">
        <v>15824</v>
      </c>
      <c r="T8" s="2023"/>
      <c r="U8" s="1196">
        <v>14581</v>
      </c>
      <c r="V8" s="1196">
        <v>16338</v>
      </c>
      <c r="W8" s="1196">
        <v>15054</v>
      </c>
      <c r="X8" s="457"/>
    </row>
    <row r="9" spans="1:24" s="460" customFormat="1" ht="9.6" customHeight="1">
      <c r="A9" s="594"/>
      <c r="B9" s="1197" t="s">
        <v>610</v>
      </c>
      <c r="C9" s="1197" t="s">
        <v>611</v>
      </c>
      <c r="D9" s="1197" t="s">
        <v>612</v>
      </c>
      <c r="E9" s="1197" t="s">
        <v>613</v>
      </c>
      <c r="F9" s="1197" t="s">
        <v>614</v>
      </c>
      <c r="G9" s="1197"/>
      <c r="H9" s="1197" t="s">
        <v>615</v>
      </c>
      <c r="I9" s="1197" t="s">
        <v>616</v>
      </c>
      <c r="J9" s="1197"/>
      <c r="K9" s="1197" t="s">
        <v>616</v>
      </c>
      <c r="L9" s="1197"/>
      <c r="M9" s="1197"/>
      <c r="N9" s="1197"/>
      <c r="O9" s="1197"/>
      <c r="P9" s="1197"/>
      <c r="Q9" s="1197"/>
      <c r="R9" s="1197"/>
      <c r="S9" s="2024" t="s">
        <v>617</v>
      </c>
      <c r="T9" s="2024"/>
      <c r="U9" s="1197"/>
      <c r="V9" s="1197" t="s">
        <v>618</v>
      </c>
      <c r="W9" s="1197"/>
      <c r="X9" s="459"/>
    </row>
    <row r="10" spans="1:24" s="90" customFormat="1" ht="9.6" customHeight="1">
      <c r="A10" s="8" t="s">
        <v>1199</v>
      </c>
      <c r="B10" s="1196">
        <v>219695</v>
      </c>
      <c r="C10" s="1196">
        <v>227250</v>
      </c>
      <c r="D10" s="1196">
        <v>2560</v>
      </c>
      <c r="E10" s="1196">
        <v>229810</v>
      </c>
      <c r="F10" s="1196" t="s">
        <v>619</v>
      </c>
      <c r="G10" s="1196">
        <v>82.29</v>
      </c>
      <c r="H10" s="1196">
        <v>38902</v>
      </c>
      <c r="I10" s="1196">
        <v>49014</v>
      </c>
      <c r="J10" s="1196">
        <v>22.31</v>
      </c>
      <c r="K10" s="1196">
        <v>48758</v>
      </c>
      <c r="L10" s="1196">
        <v>22.19</v>
      </c>
      <c r="M10" s="1196">
        <v>193429</v>
      </c>
      <c r="N10" s="1196">
        <v>200079</v>
      </c>
      <c r="O10" s="1196">
        <v>9.75</v>
      </c>
      <c r="P10" s="1196">
        <v>4.87</v>
      </c>
      <c r="Q10" s="1196">
        <v>114</v>
      </c>
      <c r="R10" s="1196">
        <v>12.81</v>
      </c>
      <c r="S10" s="2023">
        <v>17150</v>
      </c>
      <c r="T10" s="2023"/>
      <c r="U10" s="1196">
        <v>15100</v>
      </c>
      <c r="V10" s="1196">
        <v>17740</v>
      </c>
      <c r="W10" s="1196" t="s">
        <v>620</v>
      </c>
      <c r="X10" s="457"/>
    </row>
    <row r="11" spans="1:24" s="460" customFormat="1" ht="9.75" customHeight="1">
      <c r="A11" s="594"/>
      <c r="B11" s="1197" t="s">
        <v>621</v>
      </c>
      <c r="C11" s="1197" t="s">
        <v>622</v>
      </c>
      <c r="D11" s="1197" t="s">
        <v>623</v>
      </c>
      <c r="E11" s="1197" t="s">
        <v>624</v>
      </c>
      <c r="F11" s="1197" t="s">
        <v>625</v>
      </c>
      <c r="G11" s="1197"/>
      <c r="H11" s="1197" t="s">
        <v>626</v>
      </c>
      <c r="I11" s="1197" t="s">
        <v>627</v>
      </c>
      <c r="J11" s="1197"/>
      <c r="K11" s="1197" t="s">
        <v>628</v>
      </c>
      <c r="L11" s="1197"/>
      <c r="M11" s="1197"/>
      <c r="N11" s="1197"/>
      <c r="O11" s="1197"/>
      <c r="P11" s="1197"/>
      <c r="Q11" s="1197"/>
      <c r="R11" s="1197"/>
      <c r="S11" s="2024" t="s">
        <v>629</v>
      </c>
      <c r="T11" s="2024"/>
      <c r="U11" s="1197"/>
      <c r="V11" s="1197" t="s">
        <v>630</v>
      </c>
      <c r="W11" s="1197"/>
      <c r="X11" s="459"/>
    </row>
    <row r="12" spans="1:24" s="90" customFormat="1" ht="9.6" customHeight="1">
      <c r="A12" s="8" t="s">
        <v>1200</v>
      </c>
      <c r="B12" s="1196">
        <v>237086</v>
      </c>
      <c r="C12" s="1196">
        <v>245799</v>
      </c>
      <c r="D12" s="1196">
        <v>3653</v>
      </c>
      <c r="E12" s="1196">
        <v>249452</v>
      </c>
      <c r="F12" s="1196">
        <v>194691</v>
      </c>
      <c r="G12" s="1196">
        <v>82.12</v>
      </c>
      <c r="H12" s="1196">
        <v>42394</v>
      </c>
      <c r="I12" s="1196">
        <v>54761</v>
      </c>
      <c r="J12" s="1196" t="s">
        <v>631</v>
      </c>
      <c r="K12" s="1196">
        <v>54587</v>
      </c>
      <c r="L12" s="1196">
        <v>23.02</v>
      </c>
      <c r="M12" s="1196">
        <v>204927</v>
      </c>
      <c r="N12" s="1196">
        <v>212459</v>
      </c>
      <c r="O12" s="1196">
        <v>7.91</v>
      </c>
      <c r="P12" s="1196">
        <v>5.94</v>
      </c>
      <c r="Q12" s="1196">
        <v>116</v>
      </c>
      <c r="R12" s="1196">
        <v>12.98</v>
      </c>
      <c r="S12" s="2023">
        <v>18270</v>
      </c>
      <c r="T12" s="2023"/>
      <c r="U12" s="1196">
        <v>15792</v>
      </c>
      <c r="V12" s="1196">
        <v>18942</v>
      </c>
      <c r="W12" s="1196" t="s">
        <v>632</v>
      </c>
      <c r="X12" s="457"/>
    </row>
    <row r="13" spans="1:24" s="460" customFormat="1" ht="10.5" customHeight="1">
      <c r="A13" s="595"/>
      <c r="B13" s="1197" t="s">
        <v>633</v>
      </c>
      <c r="C13" s="1197" t="s">
        <v>634</v>
      </c>
      <c r="D13" s="1197" t="s">
        <v>635</v>
      </c>
      <c r="E13" s="1197" t="s">
        <v>636</v>
      </c>
      <c r="F13" s="1197" t="s">
        <v>637</v>
      </c>
      <c r="G13" s="1197"/>
      <c r="H13" s="1197" t="s">
        <v>638</v>
      </c>
      <c r="I13" s="1197" t="s">
        <v>639</v>
      </c>
      <c r="J13" s="1197"/>
      <c r="K13" s="1197" t="s">
        <v>640</v>
      </c>
      <c r="L13" s="1197"/>
      <c r="M13" s="1197"/>
      <c r="N13" s="1197"/>
      <c r="O13" s="1197"/>
      <c r="P13" s="1197"/>
      <c r="Q13" s="1197"/>
      <c r="R13" s="1197"/>
      <c r="S13" s="2024" t="s">
        <v>641</v>
      </c>
      <c r="T13" s="2024"/>
      <c r="U13" s="1197"/>
      <c r="V13" s="1197" t="s">
        <v>642</v>
      </c>
      <c r="W13" s="1197"/>
      <c r="X13" s="459"/>
    </row>
    <row r="14" spans="1:24" s="90" customFormat="1" ht="9.6" customHeight="1">
      <c r="A14" s="8" t="s">
        <v>1201</v>
      </c>
      <c r="B14" s="1196">
        <v>253546</v>
      </c>
      <c r="C14" s="1196">
        <v>262387</v>
      </c>
      <c r="D14" s="1196">
        <v>2339</v>
      </c>
      <c r="E14" s="1196">
        <v>264726</v>
      </c>
      <c r="F14" s="1196">
        <v>207918</v>
      </c>
      <c r="G14" s="1196" t="s">
        <v>643</v>
      </c>
      <c r="H14" s="1196">
        <v>45628</v>
      </c>
      <c r="I14" s="1196">
        <v>56809</v>
      </c>
      <c r="J14" s="1196">
        <v>22.41</v>
      </c>
      <c r="K14" s="1196">
        <v>58536</v>
      </c>
      <c r="L14" s="1196">
        <v>23.09</v>
      </c>
      <c r="M14" s="1196">
        <v>215735</v>
      </c>
      <c r="N14" s="1196">
        <v>223258</v>
      </c>
      <c r="O14" s="1196">
        <v>6.94</v>
      </c>
      <c r="P14" s="1196">
        <v>5.27</v>
      </c>
      <c r="Q14" s="1196">
        <v>118</v>
      </c>
      <c r="R14" s="1512">
        <v>12.99</v>
      </c>
      <c r="S14" s="2023">
        <v>19518</v>
      </c>
      <c r="T14" s="2023"/>
      <c r="U14" s="1196">
        <v>16608</v>
      </c>
      <c r="V14" s="1196">
        <v>20199</v>
      </c>
      <c r="W14" s="1196">
        <v>17187</v>
      </c>
      <c r="X14" s="457"/>
    </row>
    <row r="15" spans="1:24" s="460" customFormat="1" ht="9.6" customHeight="1">
      <c r="A15" s="594"/>
      <c r="B15" s="1197" t="s">
        <v>644</v>
      </c>
      <c r="C15" s="1197" t="s">
        <v>645</v>
      </c>
      <c r="D15" s="1197" t="s">
        <v>646</v>
      </c>
      <c r="E15" s="1197" t="s">
        <v>647</v>
      </c>
      <c r="F15" s="1197" t="s">
        <v>648</v>
      </c>
      <c r="G15" s="1197"/>
      <c r="H15" s="1197" t="s">
        <v>649</v>
      </c>
      <c r="I15" s="1197" t="s">
        <v>650</v>
      </c>
      <c r="J15" s="1197"/>
      <c r="K15" s="1197" t="s">
        <v>651</v>
      </c>
      <c r="L15" s="1197"/>
      <c r="M15" s="1197"/>
      <c r="N15" s="1197"/>
      <c r="O15" s="1197"/>
      <c r="P15" s="1197"/>
      <c r="Q15" s="1197"/>
      <c r="R15" s="1197"/>
      <c r="S15" s="2024" t="s">
        <v>652</v>
      </c>
      <c r="T15" s="2024"/>
      <c r="U15" s="1197"/>
      <c r="V15" s="1197" t="s">
        <v>653</v>
      </c>
      <c r="W15" s="1197"/>
      <c r="X15" s="459"/>
    </row>
    <row r="16" spans="1:24" s="90" customFormat="1" ht="9.6" customHeight="1">
      <c r="A16" s="8" t="s">
        <v>1202</v>
      </c>
      <c r="B16" s="1196" t="s">
        <v>654</v>
      </c>
      <c r="C16" s="1196" t="s">
        <v>655</v>
      </c>
      <c r="D16" s="1196" t="s">
        <v>656</v>
      </c>
      <c r="E16" s="1196" t="s">
        <v>657</v>
      </c>
      <c r="F16" s="1196" t="s">
        <v>658</v>
      </c>
      <c r="G16" s="1196" t="s">
        <v>659</v>
      </c>
      <c r="H16" s="1196" t="s">
        <v>660</v>
      </c>
      <c r="I16" s="1196" t="s">
        <v>661</v>
      </c>
      <c r="J16" s="1196" t="s">
        <v>662</v>
      </c>
      <c r="K16" s="1196" t="s">
        <v>663</v>
      </c>
      <c r="L16" s="1196">
        <v>23.15</v>
      </c>
      <c r="M16" s="1196">
        <v>225261</v>
      </c>
      <c r="N16" s="1196">
        <v>235603</v>
      </c>
      <c r="O16" s="1196">
        <v>7.75</v>
      </c>
      <c r="P16" s="1196">
        <v>4.42</v>
      </c>
      <c r="Q16" s="1196">
        <v>121</v>
      </c>
      <c r="R16" s="1196">
        <v>13.16</v>
      </c>
      <c r="S16" s="2023">
        <v>20760</v>
      </c>
      <c r="T16" s="2023"/>
      <c r="U16" s="1196">
        <v>17117</v>
      </c>
      <c r="V16" s="1196" t="s">
        <v>664</v>
      </c>
      <c r="W16" s="1196">
        <v>17903</v>
      </c>
      <c r="X16" s="457"/>
    </row>
    <row r="17" spans="1:24" s="460" customFormat="1" ht="9.6" customHeight="1">
      <c r="A17" s="594"/>
      <c r="B17" s="1197" t="s">
        <v>665</v>
      </c>
      <c r="C17" s="1197" t="s">
        <v>666</v>
      </c>
      <c r="D17" s="1197" t="s">
        <v>667</v>
      </c>
      <c r="E17" s="1197" t="s">
        <v>668</v>
      </c>
      <c r="F17" s="1197" t="s">
        <v>669</v>
      </c>
      <c r="G17" s="1197"/>
      <c r="H17" s="1197" t="s">
        <v>670</v>
      </c>
      <c r="I17" s="1197" t="s">
        <v>671</v>
      </c>
      <c r="J17" s="1197"/>
      <c r="K17" s="1197" t="s">
        <v>672</v>
      </c>
      <c r="L17" s="1197"/>
      <c r="M17" s="1197"/>
      <c r="N17" s="1197"/>
      <c r="O17" s="1197"/>
      <c r="P17" s="1197"/>
      <c r="Q17" s="1197"/>
      <c r="R17" s="1197"/>
      <c r="S17" s="2024" t="s">
        <v>673</v>
      </c>
      <c r="T17" s="2024"/>
      <c r="U17" s="1197"/>
      <c r="V17" s="1197" t="s">
        <v>674</v>
      </c>
      <c r="W17" s="1197"/>
      <c r="X17" s="459"/>
    </row>
    <row r="18" spans="1:24" s="90" customFormat="1" ht="9.6" customHeight="1">
      <c r="A18" s="8" t="s">
        <v>1203</v>
      </c>
      <c r="B18" s="1196" t="s">
        <v>675</v>
      </c>
      <c r="C18" s="1196">
        <v>317163</v>
      </c>
      <c r="D18" s="1196">
        <v>2158</v>
      </c>
      <c r="E18" s="1196">
        <v>319322</v>
      </c>
      <c r="F18" s="1196">
        <v>244570</v>
      </c>
      <c r="G18" s="1196">
        <v>81.790000000000006</v>
      </c>
      <c r="H18" s="1196">
        <v>56010</v>
      </c>
      <c r="I18" s="1196">
        <v>74752</v>
      </c>
      <c r="J18" s="1196">
        <v>24.45</v>
      </c>
      <c r="K18" s="1196">
        <v>70352</v>
      </c>
      <c r="L18" s="1196">
        <v>23.41</v>
      </c>
      <c r="M18" s="1196">
        <v>237101</v>
      </c>
      <c r="N18" s="1196">
        <v>250182</v>
      </c>
      <c r="O18" s="1196">
        <v>10.02</v>
      </c>
      <c r="P18" s="1196">
        <v>5.26</v>
      </c>
      <c r="Q18" s="1196">
        <v>127</v>
      </c>
      <c r="R18" s="1196">
        <v>13.34</v>
      </c>
      <c r="S18" s="2023">
        <v>22532</v>
      </c>
      <c r="T18" s="2023"/>
      <c r="U18" s="1196">
        <v>17774</v>
      </c>
      <c r="V18" s="1196">
        <v>23773</v>
      </c>
      <c r="W18" s="1196">
        <v>18754</v>
      </c>
      <c r="X18" s="457"/>
    </row>
    <row r="19" spans="1:24" s="460" customFormat="1" ht="9.6" customHeight="1">
      <c r="A19" s="594"/>
      <c r="B19" s="1197" t="s">
        <v>676</v>
      </c>
      <c r="C19" s="1197" t="s">
        <v>677</v>
      </c>
      <c r="D19" s="1197" t="s">
        <v>678</v>
      </c>
      <c r="E19" s="1197" t="s">
        <v>679</v>
      </c>
      <c r="F19" s="1197" t="s">
        <v>680</v>
      </c>
      <c r="G19" s="1197"/>
      <c r="H19" s="1197" t="s">
        <v>681</v>
      </c>
      <c r="I19" s="1197" t="s">
        <v>682</v>
      </c>
      <c r="J19" s="1197"/>
      <c r="K19" s="1197" t="s">
        <v>683</v>
      </c>
      <c r="L19" s="1197"/>
      <c r="M19" s="1197"/>
      <c r="N19" s="1197"/>
      <c r="O19" s="1197"/>
      <c r="P19" s="1197"/>
      <c r="Q19" s="1197"/>
      <c r="R19" s="1197"/>
      <c r="S19" s="2024" t="s">
        <v>684</v>
      </c>
      <c r="T19" s="2024"/>
      <c r="U19" s="1197"/>
      <c r="V19" s="1197" t="s">
        <v>685</v>
      </c>
      <c r="W19" s="1197"/>
      <c r="X19" s="459"/>
    </row>
    <row r="20" spans="1:24" s="90" customFormat="1" ht="10.5" customHeight="1">
      <c r="A20" s="8" t="s">
        <v>1204</v>
      </c>
      <c r="B20" s="1196" t="s">
        <v>686</v>
      </c>
      <c r="C20" s="1196">
        <v>350526</v>
      </c>
      <c r="D20" s="1196">
        <v>2121</v>
      </c>
      <c r="E20" s="1196">
        <v>352647</v>
      </c>
      <c r="F20" s="1196">
        <v>267927</v>
      </c>
      <c r="G20" s="1196">
        <v>80.739999999999995</v>
      </c>
      <c r="H20" s="1196">
        <v>65046</v>
      </c>
      <c r="I20" s="1196">
        <v>84719</v>
      </c>
      <c r="J20" s="1196">
        <v>25.44</v>
      </c>
      <c r="K20" s="1196">
        <v>79991</v>
      </c>
      <c r="L20" s="1196">
        <v>24.02</v>
      </c>
      <c r="M20" s="1196">
        <v>251968</v>
      </c>
      <c r="N20" s="1196">
        <v>265251</v>
      </c>
      <c r="O20" s="1196">
        <v>10.78</v>
      </c>
      <c r="P20" s="1196">
        <v>6.27</v>
      </c>
      <c r="Q20" s="1196">
        <v>132</v>
      </c>
      <c r="R20" s="1196">
        <v>13.52</v>
      </c>
      <c r="S20" s="2023">
        <v>24628</v>
      </c>
      <c r="T20" s="2023"/>
      <c r="U20" s="1196">
        <v>18637</v>
      </c>
      <c r="V20" s="1196">
        <v>25926</v>
      </c>
      <c r="W20" s="1196">
        <v>19619</v>
      </c>
      <c r="X20" s="457"/>
    </row>
    <row r="21" spans="1:24" s="460" customFormat="1" ht="9.6" customHeight="1">
      <c r="A21" s="594"/>
      <c r="B21" s="1197" t="s">
        <v>687</v>
      </c>
      <c r="C21" s="1197" t="s">
        <v>688</v>
      </c>
      <c r="D21" s="1197" t="s">
        <v>689</v>
      </c>
      <c r="E21" s="1197" t="s">
        <v>690</v>
      </c>
      <c r="F21" s="1197" t="s">
        <v>691</v>
      </c>
      <c r="G21" s="1197"/>
      <c r="H21" s="1197" t="s">
        <v>692</v>
      </c>
      <c r="I21" s="1197" t="s">
        <v>693</v>
      </c>
      <c r="J21" s="1197"/>
      <c r="K21" s="1197" t="s">
        <v>694</v>
      </c>
      <c r="L21" s="1197"/>
      <c r="M21" s="1197"/>
      <c r="N21" s="1197"/>
      <c r="O21" s="1197"/>
      <c r="P21" s="1197"/>
      <c r="Q21" s="1197"/>
      <c r="R21" s="1197"/>
      <c r="S21" s="2024" t="s">
        <v>695</v>
      </c>
      <c r="T21" s="2024"/>
      <c r="U21" s="1197"/>
      <c r="V21" s="1197" t="s">
        <v>696</v>
      </c>
      <c r="W21" s="1197"/>
      <c r="X21" s="459"/>
    </row>
    <row r="22" spans="1:24" s="90" customFormat="1" ht="9.6" customHeight="1">
      <c r="A22" s="8" t="s">
        <v>1205</v>
      </c>
      <c r="B22" s="1196">
        <v>370707</v>
      </c>
      <c r="C22" s="1196">
        <v>389635</v>
      </c>
      <c r="D22" s="1196">
        <v>2681</v>
      </c>
      <c r="E22" s="1196">
        <v>392316</v>
      </c>
      <c r="F22" s="1196">
        <v>296512</v>
      </c>
      <c r="G22" s="1196">
        <v>79.989999999999995</v>
      </c>
      <c r="H22" s="1196">
        <v>74195</v>
      </c>
      <c r="I22" s="1196">
        <v>95804</v>
      </c>
      <c r="J22" s="1196">
        <v>25.84</v>
      </c>
      <c r="K22" s="1196" t="s">
        <v>697</v>
      </c>
      <c r="L22" s="1196">
        <v>24.53</v>
      </c>
      <c r="M22" s="1196">
        <v>266974</v>
      </c>
      <c r="N22" s="1196">
        <v>280606</v>
      </c>
      <c r="O22" s="1196">
        <v>11.33</v>
      </c>
      <c r="P22" s="1196">
        <v>5.96</v>
      </c>
      <c r="Q22" s="1196">
        <v>139</v>
      </c>
      <c r="R22" s="1196" t="s">
        <v>698</v>
      </c>
      <c r="S22" s="2023">
        <v>27061</v>
      </c>
      <c r="T22" s="2023"/>
      <c r="U22" s="1196">
        <v>19489</v>
      </c>
      <c r="V22" s="1196">
        <v>28443</v>
      </c>
      <c r="W22" s="1196">
        <v>20484</v>
      </c>
      <c r="X22" s="457"/>
    </row>
    <row r="23" spans="1:24" s="460" customFormat="1" ht="9.6" customHeight="1">
      <c r="A23" s="594"/>
      <c r="B23" s="1197" t="s">
        <v>699</v>
      </c>
      <c r="C23" s="1197" t="s">
        <v>700</v>
      </c>
      <c r="D23" s="1197" t="s">
        <v>701</v>
      </c>
      <c r="E23" s="1197" t="s">
        <v>702</v>
      </c>
      <c r="F23" s="1197" t="s">
        <v>703</v>
      </c>
      <c r="G23" s="1197"/>
      <c r="H23" s="1197" t="s">
        <v>704</v>
      </c>
      <c r="I23" s="1197" t="s">
        <v>705</v>
      </c>
      <c r="J23" s="1197"/>
      <c r="K23" s="1197" t="s">
        <v>706</v>
      </c>
      <c r="L23" s="1197"/>
      <c r="M23" s="1197"/>
      <c r="N23" s="1197"/>
      <c r="O23" s="1197"/>
      <c r="P23" s="1197"/>
      <c r="Q23" s="1197"/>
      <c r="R23" s="1197"/>
      <c r="S23" s="2024" t="s">
        <v>707</v>
      </c>
      <c r="T23" s="2024"/>
      <c r="U23" s="1197"/>
      <c r="V23" s="1197" t="s">
        <v>708</v>
      </c>
      <c r="W23" s="1197"/>
      <c r="X23" s="459"/>
    </row>
    <row r="24" spans="1:24" s="90" customFormat="1" ht="9.6" customHeight="1">
      <c r="A24" s="8" t="s">
        <v>1210</v>
      </c>
      <c r="B24" s="1196">
        <v>415728</v>
      </c>
      <c r="C24" s="1196">
        <v>442935</v>
      </c>
      <c r="D24" s="1196">
        <v>3653</v>
      </c>
      <c r="E24" s="1196" t="s">
        <v>709</v>
      </c>
      <c r="F24" s="1196">
        <v>331552</v>
      </c>
      <c r="G24" s="1196">
        <v>79.75</v>
      </c>
      <c r="H24" s="1196">
        <v>84176</v>
      </c>
      <c r="I24" s="1196">
        <v>115036</v>
      </c>
      <c r="J24" s="1196">
        <v>27.67</v>
      </c>
      <c r="K24" s="1196">
        <v>102480</v>
      </c>
      <c r="L24" s="1196">
        <v>24.65</v>
      </c>
      <c r="M24" s="1196">
        <v>284673</v>
      </c>
      <c r="N24" s="1196">
        <v>303303</v>
      </c>
      <c r="O24" s="1196">
        <v>12.14</v>
      </c>
      <c r="P24" s="1196" t="s">
        <v>710</v>
      </c>
      <c r="Q24" s="1196">
        <v>146</v>
      </c>
      <c r="R24" s="1196">
        <v>13.88</v>
      </c>
      <c r="S24" s="2023">
        <v>29955</v>
      </c>
      <c r="T24" s="2023"/>
      <c r="U24" s="1196">
        <v>20512</v>
      </c>
      <c r="V24" s="1196">
        <v>31915</v>
      </c>
      <c r="W24" s="1196">
        <v>21854</v>
      </c>
      <c r="X24" s="457"/>
    </row>
    <row r="25" spans="1:24" s="460" customFormat="1" ht="9.6" customHeight="1">
      <c r="A25" s="594"/>
      <c r="B25" s="1197" t="s">
        <v>711</v>
      </c>
      <c r="C25" s="1197" t="s">
        <v>712</v>
      </c>
      <c r="D25" s="1197" t="s">
        <v>713</v>
      </c>
      <c r="E25" s="1197" t="s">
        <v>714</v>
      </c>
      <c r="F25" s="1197" t="s">
        <v>715</v>
      </c>
      <c r="G25" s="1197"/>
      <c r="H25" s="1197" t="s">
        <v>716</v>
      </c>
      <c r="I25" s="1197" t="s">
        <v>717</v>
      </c>
      <c r="J25" s="1197"/>
      <c r="K25" s="1197" t="s">
        <v>718</v>
      </c>
      <c r="L25" s="1197"/>
      <c r="M25" s="1197"/>
      <c r="N25" s="1197"/>
      <c r="O25" s="1197"/>
      <c r="P25" s="1197"/>
      <c r="Q25" s="1197"/>
      <c r="R25" s="1197"/>
      <c r="S25" s="2024" t="s">
        <v>719</v>
      </c>
      <c r="T25" s="2024"/>
      <c r="U25" s="1197"/>
      <c r="V25" s="1197" t="s">
        <v>720</v>
      </c>
      <c r="W25" s="1197"/>
      <c r="X25" s="459"/>
    </row>
    <row r="26" spans="1:24" s="90" customFormat="1" ht="9.6" customHeight="1">
      <c r="A26" s="7" t="s">
        <v>1219</v>
      </c>
      <c r="B26" s="1196" t="s">
        <v>1250</v>
      </c>
      <c r="C26" s="1196" t="s">
        <v>721</v>
      </c>
      <c r="D26" s="1196" t="s">
        <v>722</v>
      </c>
      <c r="E26" s="1196" t="s">
        <v>723</v>
      </c>
      <c r="F26" s="1196" t="s">
        <v>724</v>
      </c>
      <c r="G26" s="1196" t="s">
        <v>725</v>
      </c>
      <c r="H26" s="1196" t="s">
        <v>726</v>
      </c>
      <c r="I26" s="1196" t="s">
        <v>727</v>
      </c>
      <c r="J26" s="1196" t="s">
        <v>728</v>
      </c>
      <c r="K26" s="1196" t="s">
        <v>729</v>
      </c>
      <c r="L26" s="1198" t="s">
        <v>730</v>
      </c>
      <c r="M26" s="1198" t="s">
        <v>731</v>
      </c>
      <c r="N26" s="1198" t="s">
        <v>732</v>
      </c>
      <c r="O26" s="1198" t="s">
        <v>733</v>
      </c>
      <c r="P26" s="1198" t="s">
        <v>734</v>
      </c>
      <c r="Q26" s="1198" t="s">
        <v>735</v>
      </c>
      <c r="R26" s="642">
        <v>14.06</v>
      </c>
      <c r="S26" s="1198" t="s">
        <v>736</v>
      </c>
      <c r="T26" s="1198"/>
      <c r="U26" s="1198" t="s">
        <v>737</v>
      </c>
      <c r="V26" s="1198" t="s">
        <v>738</v>
      </c>
      <c r="W26" s="1198" t="s">
        <v>739</v>
      </c>
      <c r="X26" s="461"/>
    </row>
    <row r="27" spans="1:24" s="460" customFormat="1" ht="9.6" customHeight="1">
      <c r="A27" s="596"/>
      <c r="B27" s="1199" t="s">
        <v>740</v>
      </c>
      <c r="C27" s="1199" t="s">
        <v>741</v>
      </c>
      <c r="D27" s="1199" t="s">
        <v>742</v>
      </c>
      <c r="E27" s="1199" t="s">
        <v>743</v>
      </c>
      <c r="F27" s="1199" t="s">
        <v>744</v>
      </c>
      <c r="G27" s="1199"/>
      <c r="H27" s="1199" t="s">
        <v>745</v>
      </c>
      <c r="I27" s="1199" t="s">
        <v>746</v>
      </c>
      <c r="J27" s="1199"/>
      <c r="K27" s="1199" t="s">
        <v>747</v>
      </c>
      <c r="L27" s="1199"/>
      <c r="M27" s="1199"/>
      <c r="N27" s="1199"/>
      <c r="O27" s="1199"/>
      <c r="P27" s="1199"/>
      <c r="Q27" s="1199"/>
      <c r="R27" s="1199"/>
      <c r="S27" s="1199" t="s">
        <v>748</v>
      </c>
      <c r="T27" s="1199"/>
      <c r="U27" s="1199"/>
      <c r="V27" s="1199" t="s">
        <v>749</v>
      </c>
      <c r="W27" s="1199"/>
      <c r="X27" s="458"/>
    </row>
    <row r="28" spans="1:24" s="90" customFormat="1" ht="9.6" customHeight="1">
      <c r="A28" s="463" t="s">
        <v>916</v>
      </c>
      <c r="B28" s="1200" t="s">
        <v>286</v>
      </c>
      <c r="C28" s="1200">
        <v>594212</v>
      </c>
      <c r="D28" s="1200" t="s">
        <v>750</v>
      </c>
      <c r="E28" s="1200" t="s">
        <v>751</v>
      </c>
      <c r="F28" s="1200" t="s">
        <v>752</v>
      </c>
      <c r="G28" s="1200" t="s">
        <v>753</v>
      </c>
      <c r="H28" s="1200" t="s">
        <v>754</v>
      </c>
      <c r="I28" s="1200" t="s">
        <v>755</v>
      </c>
      <c r="J28" s="1200" t="s">
        <v>756</v>
      </c>
      <c r="K28" s="1200" t="s">
        <v>757</v>
      </c>
      <c r="L28" s="1200" t="s">
        <v>758</v>
      </c>
      <c r="M28" s="1200" t="s">
        <v>759</v>
      </c>
      <c r="N28" s="1200">
        <v>350248</v>
      </c>
      <c r="O28" s="1200" t="s">
        <v>760</v>
      </c>
      <c r="P28" s="1200" t="s">
        <v>761</v>
      </c>
      <c r="Q28" s="1200" t="s">
        <v>762</v>
      </c>
      <c r="R28" s="642" t="s">
        <v>763</v>
      </c>
      <c r="S28" s="887">
        <v>38330</v>
      </c>
      <c r="T28" s="1200"/>
      <c r="U28" s="1200" t="s">
        <v>764</v>
      </c>
      <c r="V28" s="1200">
        <v>41728</v>
      </c>
      <c r="W28" s="1200">
        <v>24596</v>
      </c>
      <c r="X28" s="461"/>
    </row>
    <row r="29" spans="1:24" s="462" customFormat="1" ht="9.6" customHeight="1">
      <c r="A29" s="597"/>
      <c r="B29" s="1201">
        <v>-79565.889212827999</v>
      </c>
      <c r="C29" s="1201">
        <v>-86619.825072886306</v>
      </c>
      <c r="D29" s="1201">
        <v>-826.67638483965004</v>
      </c>
      <c r="E29" s="1201">
        <v>-87446.501457726001</v>
      </c>
      <c r="F29" s="1201">
        <v>-63406.851311953404</v>
      </c>
      <c r="G29" s="1201"/>
      <c r="H29" s="1201">
        <v>-16159.0379008746</v>
      </c>
      <c r="I29" s="1201">
        <v>-24039.650145772601</v>
      </c>
      <c r="J29" s="1201"/>
      <c r="K29" s="1201">
        <v>-19261.224489795899</v>
      </c>
      <c r="L29" s="1202"/>
      <c r="M29" s="1202"/>
      <c r="N29" s="1202"/>
      <c r="O29" s="1202"/>
      <c r="P29" s="1202"/>
      <c r="Q29" s="1202"/>
      <c r="R29" s="1202"/>
      <c r="S29" s="1203">
        <v>559</v>
      </c>
      <c r="T29" s="1202"/>
      <c r="U29" s="1202"/>
      <c r="V29" s="1201">
        <v>-608</v>
      </c>
      <c r="W29" s="1202"/>
      <c r="X29" s="464"/>
    </row>
    <row r="30" spans="1:24" s="90" customFormat="1" ht="9.6" customHeight="1">
      <c r="A30" s="463" t="s">
        <v>230</v>
      </c>
      <c r="B30" s="1200">
        <v>614795</v>
      </c>
      <c r="C30" s="1200">
        <v>670696</v>
      </c>
      <c r="D30" s="1200">
        <v>2407</v>
      </c>
      <c r="E30" s="1200">
        <v>673103</v>
      </c>
      <c r="F30" s="1200">
        <v>491291</v>
      </c>
      <c r="G30" s="642">
        <v>79.91</v>
      </c>
      <c r="H30" s="1200">
        <v>123504</v>
      </c>
      <c r="I30" s="1200">
        <v>181812</v>
      </c>
      <c r="J30" s="1200">
        <v>29.57</v>
      </c>
      <c r="K30" s="1200">
        <v>149839</v>
      </c>
      <c r="L30" s="1200">
        <v>24.37</v>
      </c>
      <c r="M30" s="1200">
        <v>340197</v>
      </c>
      <c r="N30" s="1200">
        <v>371130</v>
      </c>
      <c r="O30" s="1200">
        <v>12.64</v>
      </c>
      <c r="P30" s="1200">
        <v>5.74</v>
      </c>
      <c r="Q30" s="1200">
        <v>181</v>
      </c>
      <c r="R30" s="1200" t="s">
        <v>765</v>
      </c>
      <c r="S30" s="1200">
        <v>42628</v>
      </c>
      <c r="T30" s="1200"/>
      <c r="U30" s="1200">
        <v>23588</v>
      </c>
      <c r="V30" s="1200">
        <v>46504</v>
      </c>
      <c r="W30" s="1200">
        <v>25733</v>
      </c>
      <c r="X30" s="457"/>
    </row>
    <row r="31" spans="1:24" ht="9.6" customHeight="1">
      <c r="A31" s="543"/>
      <c r="B31" s="1203">
        <f>(B30/68.8)*10</f>
        <v>89359.738372093037</v>
      </c>
      <c r="C31" s="1203">
        <f>(C30/68.8)*10</f>
        <v>97484.883720930229</v>
      </c>
      <c r="D31" s="1203">
        <f>(D30/68.8)*10</f>
        <v>349.85465116279073</v>
      </c>
      <c r="E31" s="1203">
        <f>(E30/68.8)*10</f>
        <v>97834.738372093037</v>
      </c>
      <c r="F31" s="1203">
        <f>(F30/68.8)*10</f>
        <v>71408.575581395358</v>
      </c>
      <c r="G31" s="1203"/>
      <c r="H31" s="1203">
        <f>(H30/68.8)*10</f>
        <v>17951.162790697676</v>
      </c>
      <c r="I31" s="1203">
        <f>(I30/68.8)*10</f>
        <v>26426.162790697676</v>
      </c>
      <c r="J31" s="1203"/>
      <c r="K31" s="1203">
        <f>(K30/68.8)*10</f>
        <v>21778.924418604653</v>
      </c>
      <c r="L31" s="1199"/>
      <c r="M31" s="1199"/>
      <c r="N31" s="1199"/>
      <c r="O31" s="1199"/>
      <c r="P31" s="1199"/>
      <c r="Q31" s="1199"/>
      <c r="R31" s="1199"/>
      <c r="S31" s="1203">
        <f>(S30/68.8)</f>
        <v>619.59302325581393</v>
      </c>
      <c r="T31" s="1199"/>
      <c r="U31" s="1199"/>
      <c r="V31" s="1203">
        <f>(V30/68.8)</f>
        <v>675.93023255813955</v>
      </c>
      <c r="W31" s="1199"/>
      <c r="X31" s="80"/>
    </row>
    <row r="32" spans="1:24" ht="9.6" customHeight="1">
      <c r="A32" s="11" t="s">
        <v>220</v>
      </c>
      <c r="B32" s="1204">
        <v>694324</v>
      </c>
      <c r="C32" s="1205">
        <v>758928</v>
      </c>
      <c r="D32" s="1205">
        <v>4248</v>
      </c>
      <c r="E32" s="1205">
        <v>763176</v>
      </c>
      <c r="F32" s="1205">
        <v>554771</v>
      </c>
      <c r="G32" s="642">
        <f>(F32/B32)*100</f>
        <v>79.900882008975643</v>
      </c>
      <c r="H32" s="1205">
        <v>139553</v>
      </c>
      <c r="I32" s="1205">
        <v>208405</v>
      </c>
      <c r="J32" s="642">
        <f>(I32/B32)*100</f>
        <v>30.015525892810853</v>
      </c>
      <c r="K32" s="1205">
        <v>169511</v>
      </c>
      <c r="L32" s="642">
        <f>(K32/B32)*100</f>
        <v>24.413818332651616</v>
      </c>
      <c r="M32" s="1198" t="s">
        <v>1402</v>
      </c>
      <c r="N32" s="1198" t="s">
        <v>1407</v>
      </c>
      <c r="O32" s="1198" t="s">
        <v>1403</v>
      </c>
      <c r="P32" s="1198" t="s">
        <v>1404</v>
      </c>
      <c r="Q32" s="1198" t="s">
        <v>326</v>
      </c>
      <c r="R32" s="1198" t="s">
        <v>325</v>
      </c>
      <c r="S32" s="1198" t="s">
        <v>1405</v>
      </c>
      <c r="T32" s="1198"/>
      <c r="U32" s="1198" t="s">
        <v>1408</v>
      </c>
      <c r="V32" s="1198" t="s">
        <v>1406</v>
      </c>
      <c r="W32" s="1198" t="s">
        <v>1409</v>
      </c>
      <c r="X32" s="80"/>
    </row>
    <row r="33" spans="1:24" s="11" customFormat="1" ht="9.6" customHeight="1">
      <c r="A33" s="543"/>
      <c r="B33" s="1203">
        <f>(B32/69.18)*10</f>
        <v>100364.84533102051</v>
      </c>
      <c r="C33" s="1203">
        <f t="shared" ref="C33:K33" si="0">(C32/69.18)*10</f>
        <v>109703.38248048567</v>
      </c>
      <c r="D33" s="1203">
        <f t="shared" si="0"/>
        <v>614.0503035559409</v>
      </c>
      <c r="E33" s="1203">
        <f t="shared" si="0"/>
        <v>110317.43278404161</v>
      </c>
      <c r="F33" s="1203">
        <f t="shared" si="0"/>
        <v>80192.396646429595</v>
      </c>
      <c r="G33" s="1203"/>
      <c r="H33" s="1203">
        <f t="shared" si="0"/>
        <v>20172.44868459092</v>
      </c>
      <c r="I33" s="1203">
        <f t="shared" si="0"/>
        <v>30125.036137612024</v>
      </c>
      <c r="J33" s="1203"/>
      <c r="K33" s="1203">
        <f t="shared" si="0"/>
        <v>24502.891008962124</v>
      </c>
      <c r="L33" s="1199"/>
      <c r="M33" s="1199"/>
      <c r="N33" s="1199"/>
      <c r="O33" s="1199"/>
      <c r="P33" s="1199"/>
      <c r="Q33" s="1199"/>
      <c r="R33" s="1199"/>
      <c r="S33" s="1203">
        <f>S32/69.18</f>
        <v>687.13501011853134</v>
      </c>
      <c r="T33" s="1199"/>
      <c r="U33" s="1199"/>
      <c r="V33" s="1203">
        <f>V32/69.18</f>
        <v>751.06967331598719</v>
      </c>
      <c r="W33" s="1199"/>
      <c r="X33" s="141"/>
    </row>
    <row r="34" spans="1:24" s="11" customFormat="1" ht="9.6" customHeight="1">
      <c r="A34" s="11" t="s">
        <v>489</v>
      </c>
      <c r="B34" s="1200">
        <v>796704</v>
      </c>
      <c r="C34" s="1200">
        <v>869217</v>
      </c>
      <c r="D34" s="1200">
        <v>3101</v>
      </c>
      <c r="E34" s="1200">
        <v>872319</v>
      </c>
      <c r="F34" s="1200">
        <v>643022</v>
      </c>
      <c r="G34" s="642">
        <f>(F34/B34)*100</f>
        <v>80.710276338514689</v>
      </c>
      <c r="H34" s="1200">
        <v>153682</v>
      </c>
      <c r="I34" s="1200">
        <v>229297</v>
      </c>
      <c r="J34" s="642">
        <f>(I34/B34)*100</f>
        <v>28.780701490139375</v>
      </c>
      <c r="K34" s="1200">
        <v>200378</v>
      </c>
      <c r="L34" s="642">
        <f>(K34/B34)*100</f>
        <v>25.150871590954733</v>
      </c>
      <c r="M34" s="1198" t="s">
        <v>1793</v>
      </c>
      <c r="N34" s="1198" t="s">
        <v>1800</v>
      </c>
      <c r="O34" s="1198" t="s">
        <v>1794</v>
      </c>
      <c r="P34" s="1198" t="s">
        <v>1795</v>
      </c>
      <c r="Q34" s="1206" t="s">
        <v>1798</v>
      </c>
      <c r="R34" s="1198" t="s">
        <v>1796</v>
      </c>
      <c r="S34" s="1200">
        <v>53238</v>
      </c>
      <c r="T34" s="1198"/>
      <c r="U34" s="1206" t="s">
        <v>1799</v>
      </c>
      <c r="V34" s="1200">
        <v>58083</v>
      </c>
      <c r="W34" s="1198" t="s">
        <v>1801</v>
      </c>
      <c r="X34" s="307"/>
    </row>
    <row r="35" spans="1:24" s="11" customFormat="1" ht="9.6" customHeight="1">
      <c r="A35" s="543"/>
      <c r="B35" s="1203">
        <f>(B34/71.17)*10</f>
        <v>111943.79654348742</v>
      </c>
      <c r="C35" s="1203">
        <f>(C34/71.17)*10</f>
        <v>122132.49964872839</v>
      </c>
      <c r="D35" s="1203">
        <f>(D34/71.17)*10</f>
        <v>435.71729661374172</v>
      </c>
      <c r="E35" s="1203">
        <f>(E34/71.17)*10</f>
        <v>122568.35745398341</v>
      </c>
      <c r="F35" s="1203">
        <f>(F34/71.17)*10</f>
        <v>90350.147534073345</v>
      </c>
      <c r="G35" s="1203"/>
      <c r="H35" s="1203">
        <f>(H34/71.17)*10</f>
        <v>21593.649009414079</v>
      </c>
      <c r="I35" s="1203">
        <f>(I34/71.17)*10</f>
        <v>32218.209919910074</v>
      </c>
      <c r="J35" s="1203"/>
      <c r="K35" s="1203">
        <f>(K34/71.17)*10</f>
        <v>28154.840522692142</v>
      </c>
      <c r="L35" s="1199"/>
      <c r="M35" s="1199"/>
      <c r="N35" s="1199"/>
      <c r="O35" s="1199"/>
      <c r="P35" s="1199"/>
      <c r="Q35" s="1199"/>
      <c r="R35" s="1199"/>
      <c r="S35" s="1203">
        <f>S34/71.17</f>
        <v>748.03990445412387</v>
      </c>
      <c r="T35" s="1199"/>
      <c r="U35" s="1199"/>
      <c r="V35" s="1203">
        <f>V34/71.17</f>
        <v>816.116341154981</v>
      </c>
      <c r="W35" s="1199"/>
      <c r="X35" s="141"/>
    </row>
    <row r="36" spans="1:24" s="11" customFormat="1" ht="9.6" customHeight="1">
      <c r="A36" s="11" t="s">
        <v>1580</v>
      </c>
      <c r="B36" s="1193">
        <v>918141</v>
      </c>
      <c r="C36" s="1200">
        <v>1007443</v>
      </c>
      <c r="D36" s="1200">
        <v>1791</v>
      </c>
      <c r="E36" s="1200">
        <v>1009234</v>
      </c>
      <c r="F36" s="1200">
        <v>741287</v>
      </c>
      <c r="G36" s="642">
        <f>(F36/B36)*100</f>
        <v>80.73781695839746</v>
      </c>
      <c r="H36" s="1200">
        <v>176854</v>
      </c>
      <c r="I36" s="1200">
        <v>267947</v>
      </c>
      <c r="J36" s="642">
        <f>(I36/B36)*100</f>
        <v>29.183643906545942</v>
      </c>
      <c r="K36" s="1200">
        <v>243691</v>
      </c>
      <c r="L36" s="642">
        <f>(K36/B36)*100</f>
        <v>26.541783887224295</v>
      </c>
      <c r="M36" s="1198">
        <v>409053</v>
      </c>
      <c r="N36" s="1198" t="s">
        <v>2190</v>
      </c>
      <c r="O36" s="1198" t="s">
        <v>2175</v>
      </c>
      <c r="P36" s="1198" t="s">
        <v>2176</v>
      </c>
      <c r="Q36" s="1198" t="s">
        <v>2191</v>
      </c>
      <c r="R36" s="1198" t="s">
        <v>1797</v>
      </c>
      <c r="S36" s="1200">
        <v>60571</v>
      </c>
      <c r="T36" s="1198"/>
      <c r="U36" s="1198" t="s">
        <v>2193</v>
      </c>
      <c r="V36" s="1200">
        <v>66463</v>
      </c>
      <c r="W36" s="1198" t="s">
        <v>2194</v>
      </c>
      <c r="X36" s="141"/>
    </row>
    <row r="37" spans="1:24" s="11" customFormat="1" ht="9.6" customHeight="1">
      <c r="A37" s="543"/>
      <c r="B37" s="1203">
        <f>(B36/79.1)*10</f>
        <v>116073.45132743364</v>
      </c>
      <c r="C37" s="1203">
        <f>(C36/79.1)*10</f>
        <v>127363.21112515804</v>
      </c>
      <c r="D37" s="1203">
        <f>(D36/79.1)*10</f>
        <v>226.42225031605562</v>
      </c>
      <c r="E37" s="1203">
        <f>(E36/79.1)*10</f>
        <v>127589.63337547409</v>
      </c>
      <c r="F37" s="1203">
        <f>(F36/79.1)*10</f>
        <v>93715.170670037929</v>
      </c>
      <c r="G37" s="1203"/>
      <c r="H37" s="1203">
        <f>(H36/79.1)*10</f>
        <v>22358.280657395702</v>
      </c>
      <c r="I37" s="1203">
        <f>(I36/79.1)*10</f>
        <v>33874.462705436155</v>
      </c>
      <c r="J37" s="1203"/>
      <c r="K37" s="1203">
        <f>(K36/79.1)*10</f>
        <v>30807.964601769912</v>
      </c>
      <c r="L37" s="1199"/>
      <c r="M37" s="1199"/>
      <c r="N37" s="1199"/>
      <c r="O37" s="1199"/>
      <c r="P37" s="1199"/>
      <c r="Q37" s="1199"/>
      <c r="R37" s="1199"/>
      <c r="S37" s="1203">
        <f>S36/79.1</f>
        <v>765.75221238938059</v>
      </c>
      <c r="T37" s="1199"/>
      <c r="U37" s="1199"/>
      <c r="V37" s="1203">
        <f>V36/79.1</f>
        <v>840.24020227560061</v>
      </c>
      <c r="W37" s="1199"/>
      <c r="X37" s="141"/>
    </row>
    <row r="38" spans="1:24" s="11" customFormat="1" ht="9.6" customHeight="1">
      <c r="A38" s="676" t="s">
        <v>2564</v>
      </c>
      <c r="B38" s="887">
        <v>482337</v>
      </c>
      <c r="C38" s="1200">
        <v>509545</v>
      </c>
      <c r="D38" s="1200">
        <v>3653</v>
      </c>
      <c r="E38" s="1200">
        <v>513197</v>
      </c>
      <c r="F38" s="1200">
        <v>378940</v>
      </c>
      <c r="G38" s="642">
        <f>(F38/B38)*100</f>
        <v>78.563328129502821</v>
      </c>
      <c r="H38" s="1200">
        <v>103397</v>
      </c>
      <c r="I38" s="1200">
        <v>134257</v>
      </c>
      <c r="J38" s="642">
        <f>(I38/B38)*100</f>
        <v>27.834688195183038</v>
      </c>
      <c r="K38" s="1200">
        <v>126103</v>
      </c>
      <c r="L38" s="642">
        <f>(K38/B38)*100</f>
        <v>26.144168910948157</v>
      </c>
      <c r="M38" s="1198" t="s">
        <v>2568</v>
      </c>
      <c r="N38" s="1198" t="s">
        <v>2573</v>
      </c>
      <c r="O38" s="1198" t="s">
        <v>1403</v>
      </c>
      <c r="P38" s="1198" t="s">
        <v>2582</v>
      </c>
      <c r="Q38" s="1198" t="s">
        <v>2192</v>
      </c>
      <c r="R38" s="1198" t="s">
        <v>2586</v>
      </c>
      <c r="S38" s="1200">
        <v>34502</v>
      </c>
      <c r="T38" s="1198"/>
      <c r="U38" s="1198" t="s">
        <v>2592</v>
      </c>
      <c r="V38" s="1200">
        <v>36448</v>
      </c>
      <c r="W38" s="1198" t="s">
        <v>2591</v>
      </c>
      <c r="X38" s="141"/>
    </row>
    <row r="39" spans="1:24" s="11" customFormat="1" ht="9.6" customHeight="1">
      <c r="A39" s="543"/>
      <c r="B39" s="1203">
        <f>(B38/67.08)*10</f>
        <v>71904.740608228982</v>
      </c>
      <c r="C39" s="1203">
        <f>(C38/67.08)*10</f>
        <v>75960.793082886114</v>
      </c>
      <c r="D39" s="1203">
        <f>(D38/67.08)*10</f>
        <v>544.5736434108527</v>
      </c>
      <c r="E39" s="1203">
        <f>(E38/67.08)*10</f>
        <v>76505.217650566497</v>
      </c>
      <c r="F39" s="1203">
        <f>(F38/67.08)*10</f>
        <v>56490.757304710794</v>
      </c>
      <c r="G39" s="1203"/>
      <c r="H39" s="1203">
        <f>(H38/67.08)*10</f>
        <v>15413.983303518187</v>
      </c>
      <c r="I39" s="1203">
        <f>(I38/67.08)*10</f>
        <v>20014.460345855696</v>
      </c>
      <c r="J39" s="1203"/>
      <c r="K39" s="1203">
        <f>(K38/67.08)*10</f>
        <v>18798.896839594516</v>
      </c>
      <c r="L39" s="1199"/>
      <c r="M39" s="1199"/>
      <c r="N39" s="1199"/>
      <c r="O39" s="1199"/>
      <c r="P39" s="1199"/>
      <c r="Q39" s="1199"/>
      <c r="R39" s="1199"/>
      <c r="S39" s="1203">
        <f>S38/67.08</f>
        <v>514.34108527131787</v>
      </c>
      <c r="T39" s="1199"/>
      <c r="U39" s="1199"/>
      <c r="V39" s="1203">
        <f>V38/67.08</f>
        <v>543.35122242098987</v>
      </c>
      <c r="W39" s="1199"/>
      <c r="X39" s="141"/>
    </row>
    <row r="40" spans="1:24" s="11" customFormat="1" ht="9.6" customHeight="1">
      <c r="A40" s="315" t="s">
        <v>2565</v>
      </c>
      <c r="B40" s="887">
        <v>549800</v>
      </c>
      <c r="C40" s="1200">
        <v>585075</v>
      </c>
      <c r="D40" s="1200">
        <v>3989</v>
      </c>
      <c r="E40" s="1200">
        <v>589064</v>
      </c>
      <c r="F40" s="1200">
        <v>435731</v>
      </c>
      <c r="G40" s="642">
        <f>(F40/B40)*100</f>
        <v>79.252637322662792</v>
      </c>
      <c r="H40" s="1200">
        <v>114069</v>
      </c>
      <c r="I40" s="1200">
        <v>153333</v>
      </c>
      <c r="J40" s="642">
        <f>(I40/B40)*100</f>
        <v>27.888868679519824</v>
      </c>
      <c r="K40" s="1200">
        <v>143929</v>
      </c>
      <c r="L40" s="642">
        <f>(K40/B40)*100</f>
        <v>26.178428519461622</v>
      </c>
      <c r="M40" s="1198" t="s">
        <v>2569</v>
      </c>
      <c r="N40" s="1198" t="s">
        <v>2574</v>
      </c>
      <c r="O40" s="1198" t="s">
        <v>2578</v>
      </c>
      <c r="P40" s="1198" t="s">
        <v>2583</v>
      </c>
      <c r="Q40" s="1198" t="s">
        <v>2192</v>
      </c>
      <c r="R40" s="1198" t="s">
        <v>2587</v>
      </c>
      <c r="S40" s="1200">
        <v>38773</v>
      </c>
      <c r="T40" s="1198"/>
      <c r="U40" s="1198" t="s">
        <v>2593</v>
      </c>
      <c r="V40" s="1200">
        <v>41261</v>
      </c>
      <c r="W40" s="1198" t="s">
        <v>2597</v>
      </c>
      <c r="X40" s="141"/>
    </row>
    <row r="41" spans="1:24" s="11" customFormat="1" ht="9.6" customHeight="1">
      <c r="A41" s="543"/>
      <c r="B41" s="1203">
        <f>(B40/69.03)*10</f>
        <v>79646.530493988117</v>
      </c>
      <c r="C41" s="1203">
        <f>(C40/69.03)*10</f>
        <v>84756.627553237719</v>
      </c>
      <c r="D41" s="1203">
        <f>(D40/69.03)*10</f>
        <v>577.86469650876427</v>
      </c>
      <c r="E41" s="1203">
        <f>(E40/69.03)*10</f>
        <v>85334.492249746487</v>
      </c>
      <c r="F41" s="1203">
        <f>(F40/69.03)*10</f>
        <v>63121.975952484427</v>
      </c>
      <c r="G41" s="1203"/>
      <c r="H41" s="1203">
        <f>(H40/69.03)*10</f>
        <v>16524.554541503694</v>
      </c>
      <c r="I41" s="1203">
        <f>(I40/69.03)*10</f>
        <v>22212.51629726206</v>
      </c>
      <c r="J41" s="1203"/>
      <c r="K41" s="1203">
        <f>(K40/69.03)*10</f>
        <v>20850.210053599883</v>
      </c>
      <c r="L41" s="1199"/>
      <c r="M41" s="1199"/>
      <c r="N41" s="1199"/>
      <c r="O41" s="1199"/>
      <c r="P41" s="1199"/>
      <c r="Q41" s="1199"/>
      <c r="R41" s="1199"/>
      <c r="S41" s="1203">
        <f>S40/69.03</f>
        <v>561.68332609010577</v>
      </c>
      <c r="T41" s="1199"/>
      <c r="U41" s="1199"/>
      <c r="V41" s="1203">
        <f>V40/69.03</f>
        <v>597.7256265391859</v>
      </c>
      <c r="W41" s="1199"/>
      <c r="X41" s="141"/>
    </row>
    <row r="42" spans="1:24" s="11" customFormat="1" ht="9.6" customHeight="1">
      <c r="A42" s="315" t="s">
        <v>2566</v>
      </c>
      <c r="B42" s="887">
        <v>628682</v>
      </c>
      <c r="C42" s="1200">
        <v>677072</v>
      </c>
      <c r="D42" s="1200">
        <v>5671</v>
      </c>
      <c r="E42" s="1200">
        <v>682743</v>
      </c>
      <c r="F42" s="1200">
        <v>508042</v>
      </c>
      <c r="G42" s="642">
        <f>(F42/B42)*100</f>
        <v>80.810648308683881</v>
      </c>
      <c r="H42" s="1200">
        <v>120640</v>
      </c>
      <c r="I42" s="1200">
        <v>174701</v>
      </c>
      <c r="J42" s="642">
        <f>(I42/B42)*100</f>
        <v>27.788452667644375</v>
      </c>
      <c r="K42" s="1200">
        <v>164729</v>
      </c>
      <c r="L42" s="642">
        <f>(K42/B42)*100</f>
        <v>26.202277144884057</v>
      </c>
      <c r="M42" s="1198" t="s">
        <v>2570</v>
      </c>
      <c r="N42" s="1198" t="s">
        <v>2575</v>
      </c>
      <c r="O42" s="1198" t="s">
        <v>2579</v>
      </c>
      <c r="P42" s="1198" t="s">
        <v>2367</v>
      </c>
      <c r="Q42" s="1198" t="s">
        <v>2192</v>
      </c>
      <c r="R42" s="1198" t="s">
        <v>2588</v>
      </c>
      <c r="S42" s="1200">
        <v>43719</v>
      </c>
      <c r="T42" s="1198"/>
      <c r="U42" s="1198" t="s">
        <v>2598</v>
      </c>
      <c r="V42" s="1200">
        <v>47084</v>
      </c>
      <c r="W42" s="1198" t="s">
        <v>2594</v>
      </c>
      <c r="X42" s="141"/>
    </row>
    <row r="43" spans="1:24" s="11" customFormat="1" ht="9.6" customHeight="1">
      <c r="A43" s="543"/>
      <c r="B43" s="1203">
        <f>(B42/68.6)*10</f>
        <v>91644.606413994174</v>
      </c>
      <c r="C43" s="1203">
        <f>(C42/68.6)*10</f>
        <v>98698.542274052481</v>
      </c>
      <c r="D43" s="1203">
        <f>(D42/68.6)*10</f>
        <v>826.67638483965015</v>
      </c>
      <c r="E43" s="1203">
        <f>(E42/68.6)*10</f>
        <v>99525.218658892132</v>
      </c>
      <c r="F43" s="1203">
        <f>(F42/68.6)*10</f>
        <v>74058.600583090389</v>
      </c>
      <c r="G43" s="1203"/>
      <c r="H43" s="1203">
        <f>(H42/68.6)*10</f>
        <v>17586.005830903792</v>
      </c>
      <c r="I43" s="1203">
        <f>(I42/68.6)*10</f>
        <v>25466.618075801751</v>
      </c>
      <c r="J43" s="1203"/>
      <c r="K43" s="1203">
        <f>(K42/68.6)*10</f>
        <v>24012.973760932946</v>
      </c>
      <c r="L43" s="1199"/>
      <c r="M43" s="1199"/>
      <c r="N43" s="1199"/>
      <c r="O43" s="1199"/>
      <c r="P43" s="1199"/>
      <c r="Q43" s="1199"/>
      <c r="R43" s="1199"/>
      <c r="S43" s="1203">
        <f>S42/68.6</f>
        <v>637.30320699708454</v>
      </c>
      <c r="T43" s="1199"/>
      <c r="U43" s="1199"/>
      <c r="V43" s="1203">
        <f>V42/68.6</f>
        <v>686.3556851311954</v>
      </c>
      <c r="W43" s="1199"/>
      <c r="X43" s="141"/>
    </row>
    <row r="44" spans="1:24" s="11" customFormat="1" ht="9.6" customHeight="1">
      <c r="A44" s="315" t="s">
        <v>2567</v>
      </c>
      <c r="B44" s="887">
        <v>705072</v>
      </c>
      <c r="C44" s="1200">
        <v>760973</v>
      </c>
      <c r="D44" s="1200">
        <v>2407</v>
      </c>
      <c r="E44" s="1200">
        <v>763380</v>
      </c>
      <c r="F44" s="1200">
        <v>561714</v>
      </c>
      <c r="G44" s="642">
        <f>(F44/B44)*100</f>
        <v>79.667608414459806</v>
      </c>
      <c r="H44" s="1200">
        <v>143358</v>
      </c>
      <c r="I44" s="1200">
        <v>201662</v>
      </c>
      <c r="J44" s="642">
        <f>(I44/B44)*100</f>
        <v>28.601617990786753</v>
      </c>
      <c r="K44" s="1200">
        <v>184772</v>
      </c>
      <c r="L44" s="642">
        <f>(K44/B44)*100</f>
        <v>26.206117956747683</v>
      </c>
      <c r="M44" s="1198" t="s">
        <v>2571</v>
      </c>
      <c r="N44" s="1198" t="s">
        <v>2576</v>
      </c>
      <c r="O44" s="1198" t="s">
        <v>2580</v>
      </c>
      <c r="P44" s="1198" t="s">
        <v>2584</v>
      </c>
      <c r="Q44" s="1198" t="s">
        <v>2192</v>
      </c>
      <c r="R44" s="1198" t="s">
        <v>2589</v>
      </c>
      <c r="S44" s="1200">
        <v>48359</v>
      </c>
      <c r="T44" s="1198"/>
      <c r="U44" s="1198" t="s">
        <v>2599</v>
      </c>
      <c r="V44" s="1200">
        <v>52193</v>
      </c>
      <c r="W44" s="1198" t="s">
        <v>2595</v>
      </c>
      <c r="X44" s="141"/>
    </row>
    <row r="45" spans="1:24" s="11" customFormat="1" ht="9.6" customHeight="1">
      <c r="A45" s="543"/>
      <c r="B45" s="1203">
        <f>(B44/68.8)*10</f>
        <v>102481.39534883722</v>
      </c>
      <c r="C45" s="1203">
        <f>(C44/68.8)*10</f>
        <v>110606.54069767443</v>
      </c>
      <c r="D45" s="1203">
        <f>(D44/68.8)*10</f>
        <v>349.85465116279073</v>
      </c>
      <c r="E45" s="1203">
        <f>(E44/68.8)*10</f>
        <v>110956.39534883722</v>
      </c>
      <c r="F45" s="1203">
        <f>(F44/68.8)*10</f>
        <v>81644.476744186046</v>
      </c>
      <c r="G45" s="1203"/>
      <c r="H45" s="1203">
        <f>(H44/68.8)*10</f>
        <v>20836.918604651164</v>
      </c>
      <c r="I45" s="1203">
        <f>(I44/68.8)*10</f>
        <v>29311.337209302328</v>
      </c>
      <c r="J45" s="1203"/>
      <c r="K45" s="1203">
        <f>(K44/68.8)*10</f>
        <v>26856.39534883721</v>
      </c>
      <c r="L45" s="1199"/>
      <c r="M45" s="1199"/>
      <c r="N45" s="1199"/>
      <c r="O45" s="1199"/>
      <c r="P45" s="1199"/>
      <c r="Q45" s="1199"/>
      <c r="R45" s="1199"/>
      <c r="S45" s="1203">
        <f>S44/68.8</f>
        <v>702.89244186046517</v>
      </c>
      <c r="T45" s="1199"/>
      <c r="U45" s="1199"/>
      <c r="V45" s="1203">
        <f>V44/68.8</f>
        <v>758.61918604651169</v>
      </c>
      <c r="W45" s="1199"/>
      <c r="X45" s="141"/>
    </row>
    <row r="46" spans="1:24" s="11" customFormat="1" ht="9.6" customHeight="1">
      <c r="A46" s="315" t="s">
        <v>2563</v>
      </c>
      <c r="B46" s="887">
        <v>797539</v>
      </c>
      <c r="C46" s="1200">
        <v>862142</v>
      </c>
      <c r="D46" s="1200">
        <v>4248</v>
      </c>
      <c r="E46" s="1200">
        <v>866390</v>
      </c>
      <c r="F46" s="1200">
        <v>631571</v>
      </c>
      <c r="G46" s="642">
        <f>(F46/B46)*100</f>
        <v>79.189983185775233</v>
      </c>
      <c r="H46" s="1200">
        <v>165968</v>
      </c>
      <c r="I46" s="1200">
        <v>234819</v>
      </c>
      <c r="J46" s="642">
        <f>(I46/B46)*100</f>
        <v>29.442948871465845</v>
      </c>
      <c r="K46" s="1200">
        <v>209327</v>
      </c>
      <c r="L46" s="642">
        <f>(K46/B46)*100</f>
        <v>26.246616152940483</v>
      </c>
      <c r="M46" s="1198" t="s">
        <v>2572</v>
      </c>
      <c r="N46" s="1198" t="s">
        <v>2577</v>
      </c>
      <c r="O46" s="1198" t="s">
        <v>2581</v>
      </c>
      <c r="P46" s="1198" t="s">
        <v>2585</v>
      </c>
      <c r="Q46" s="1198" t="s">
        <v>2192</v>
      </c>
      <c r="R46" s="1198" t="s">
        <v>2590</v>
      </c>
      <c r="S46" s="1200">
        <v>53961</v>
      </c>
      <c r="T46" s="1198"/>
      <c r="U46" s="1198" t="s">
        <v>2600</v>
      </c>
      <c r="V46" s="1200">
        <v>58332</v>
      </c>
      <c r="W46" s="1198" t="s">
        <v>2596</v>
      </c>
      <c r="X46" s="141"/>
    </row>
    <row r="47" spans="1:24" s="11" customFormat="1" ht="9.6" customHeight="1">
      <c r="A47" s="543"/>
      <c r="B47" s="1203">
        <f>(B46/69.18)*10</f>
        <v>115284.61983232148</v>
      </c>
      <c r="C47" s="1203">
        <f>(C46/69.18)*10</f>
        <v>124623.01243133852</v>
      </c>
      <c r="D47" s="1203">
        <f>(D46/69.18)*10</f>
        <v>614.0503035559409</v>
      </c>
      <c r="E47" s="1203">
        <f>(E46/69.18)*10</f>
        <v>125237.06273489445</v>
      </c>
      <c r="F47" s="1203">
        <f>(F46/69.18)*10</f>
        <v>91293.871061000274</v>
      </c>
      <c r="G47" s="1203"/>
      <c r="H47" s="1203">
        <f>(H46/69.18)*10</f>
        <v>23990.748771321189</v>
      </c>
      <c r="I47" s="1203">
        <f>(I46/69.18)*10</f>
        <v>33943.191673894187</v>
      </c>
      <c r="J47" s="1203"/>
      <c r="K47" s="1203">
        <f>(K46/69.18)*10</f>
        <v>30258.311650766114</v>
      </c>
      <c r="L47" s="1199"/>
      <c r="M47" s="1199"/>
      <c r="N47" s="1199"/>
      <c r="O47" s="1199"/>
      <c r="P47" s="1199"/>
      <c r="Q47" s="1199"/>
      <c r="R47" s="1199"/>
      <c r="S47" s="1203">
        <f>S46/69.18</f>
        <v>780.0086730268863</v>
      </c>
      <c r="T47" s="1199"/>
      <c r="U47" s="1199"/>
      <c r="V47" s="1203">
        <f>V46/69.18</f>
        <v>843.19167389418897</v>
      </c>
      <c r="W47" s="1199"/>
      <c r="X47" s="141"/>
    </row>
    <row r="48" spans="1:24" s="11" customFormat="1" ht="9.6" customHeight="1">
      <c r="A48" s="11" t="s">
        <v>2358</v>
      </c>
      <c r="B48" s="1200">
        <v>915829</v>
      </c>
      <c r="C48" s="1200">
        <v>988342</v>
      </c>
      <c r="D48" s="1200">
        <v>3102</v>
      </c>
      <c r="E48" s="1200">
        <v>991444</v>
      </c>
      <c r="F48" s="1200">
        <v>726966</v>
      </c>
      <c r="G48" s="642">
        <f>(F48/B48)*100</f>
        <v>79.377918803619451</v>
      </c>
      <c r="H48" s="1200">
        <v>188863</v>
      </c>
      <c r="I48" s="1200">
        <v>264478</v>
      </c>
      <c r="J48" s="642">
        <f>(I48/B48)*100</f>
        <v>28.878535185061839</v>
      </c>
      <c r="K48" s="1200">
        <v>251129</v>
      </c>
      <c r="L48" s="642">
        <f>(K48/B48)*100</f>
        <v>27.420948670548761</v>
      </c>
      <c r="M48" s="1198" t="s">
        <v>2360</v>
      </c>
      <c r="N48" s="1198" t="s">
        <v>2394</v>
      </c>
      <c r="O48" s="1198" t="s">
        <v>2361</v>
      </c>
      <c r="P48" s="1198" t="s">
        <v>2362</v>
      </c>
      <c r="Q48" s="1207">
        <f>(B48/M48)*100</f>
        <v>141.694180480303</v>
      </c>
      <c r="R48" s="1198" t="s">
        <v>1796</v>
      </c>
      <c r="S48" s="1200">
        <v>61198</v>
      </c>
      <c r="T48" s="1198"/>
      <c r="U48" s="1207">
        <v>43190</v>
      </c>
      <c r="V48" s="1200">
        <v>66044</v>
      </c>
      <c r="W48" s="1198" t="s">
        <v>2397</v>
      </c>
      <c r="X48" s="141"/>
    </row>
    <row r="49" spans="1:24" s="11" customFormat="1" ht="9.6" customHeight="1">
      <c r="A49" s="543"/>
      <c r="B49" s="1203">
        <f>(B48/71.17)*10</f>
        <v>128681.88843613882</v>
      </c>
      <c r="C49" s="1203">
        <f>(C48/71.17)*10</f>
        <v>138870.59154137981</v>
      </c>
      <c r="D49" s="1203">
        <f>(D48/71.17)*10</f>
        <v>435.85780525502315</v>
      </c>
      <c r="E49" s="1203">
        <f>(E48/71.17)*10</f>
        <v>139306.44934663482</v>
      </c>
      <c r="F49" s="1203">
        <f>(F48/71.17)*10</f>
        <v>102145.00491780243</v>
      </c>
      <c r="G49" s="1203"/>
      <c r="H49" s="1203">
        <f>(H48/71.17)*10</f>
        <v>26536.883518336377</v>
      </c>
      <c r="I49" s="1203">
        <f>(I48/71.17)*10</f>
        <v>37161.444428832372</v>
      </c>
      <c r="J49" s="1203"/>
      <c r="K49" s="1203">
        <f>(K48/71.17)*10</f>
        <v>35285.794576366447</v>
      </c>
      <c r="L49" s="1199"/>
      <c r="M49" s="1199"/>
      <c r="N49" s="1199"/>
      <c r="O49" s="1199"/>
      <c r="P49" s="1199"/>
      <c r="Q49" s="1199"/>
      <c r="R49" s="1199"/>
      <c r="S49" s="1203">
        <f>S48/71.17</f>
        <v>859.88478291414924</v>
      </c>
      <c r="T49" s="1199"/>
      <c r="U49" s="1199"/>
      <c r="V49" s="1203">
        <f>V48/71.17</f>
        <v>927.97527047913445</v>
      </c>
      <c r="W49" s="1199"/>
      <c r="X49" s="141"/>
    </row>
    <row r="50" spans="1:24" s="11" customFormat="1" ht="9.6" customHeight="1">
      <c r="A50" s="11" t="s">
        <v>2359</v>
      </c>
      <c r="B50" s="1193">
        <v>1055204</v>
      </c>
      <c r="C50" s="1200">
        <v>1144506</v>
      </c>
      <c r="D50" s="1200">
        <v>1791</v>
      </c>
      <c r="E50" s="1200">
        <v>1146297</v>
      </c>
      <c r="F50" s="1200">
        <v>831250</v>
      </c>
      <c r="G50" s="642">
        <f>(F50/B50)*100</f>
        <v>78.776236632916479</v>
      </c>
      <c r="H50" s="1200">
        <v>223954</v>
      </c>
      <c r="I50" s="1200">
        <v>315047</v>
      </c>
      <c r="J50" s="642">
        <f>(I50/B50)*100</f>
        <v>29.856501681191506</v>
      </c>
      <c r="K50" s="1200">
        <v>298225</v>
      </c>
      <c r="L50" s="642">
        <f>(K50/B50)*100</f>
        <v>28.262307572753702</v>
      </c>
      <c r="M50" s="1198" t="s">
        <v>2363</v>
      </c>
      <c r="N50" s="1198" t="s">
        <v>2393</v>
      </c>
      <c r="O50" s="1198" t="s">
        <v>2364</v>
      </c>
      <c r="P50" s="1198" t="s">
        <v>2365</v>
      </c>
      <c r="Q50" s="1207">
        <f>(B50/M50)*100</f>
        <v>153.26285089318264</v>
      </c>
      <c r="R50" s="1198" t="s">
        <v>1797</v>
      </c>
      <c r="S50" s="1200">
        <v>69614</v>
      </c>
      <c r="T50" s="1198"/>
      <c r="U50" s="1207">
        <v>45421</v>
      </c>
      <c r="V50" s="1200">
        <v>75505</v>
      </c>
      <c r="W50" s="1198" t="s">
        <v>2396</v>
      </c>
      <c r="X50" s="141"/>
    </row>
    <row r="51" spans="1:24" s="11" customFormat="1" ht="9.6" customHeight="1">
      <c r="A51" s="543"/>
      <c r="B51" s="1203">
        <f>(B50/79.1)*10</f>
        <v>133401.26422250317</v>
      </c>
      <c r="C51" s="1203">
        <f>(C50/79.1)*10</f>
        <v>144691.02402022757</v>
      </c>
      <c r="D51" s="1203">
        <f>(D50/79.1)*10</f>
        <v>226.42225031605562</v>
      </c>
      <c r="E51" s="1203">
        <f>(E50/79.1)*10</f>
        <v>144917.44627054362</v>
      </c>
      <c r="F51" s="1203">
        <f>(F50/79.1)*10</f>
        <v>105088.49557522124</v>
      </c>
      <c r="G51" s="1203"/>
      <c r="H51" s="1203">
        <f>(H50/79.1)*10</f>
        <v>28312.768647281922</v>
      </c>
      <c r="I51" s="1203">
        <f>(I50/79.1)*10</f>
        <v>39828.950695322375</v>
      </c>
      <c r="J51" s="1203"/>
      <c r="K51" s="1203">
        <f>(K50/79.1)*10</f>
        <v>37702.275600505687</v>
      </c>
      <c r="L51" s="1199"/>
      <c r="M51" s="1199"/>
      <c r="N51" s="1199"/>
      <c r="O51" s="1199"/>
      <c r="P51" s="1199"/>
      <c r="Q51" s="1199"/>
      <c r="R51" s="1199"/>
      <c r="S51" s="1203">
        <f>S50/79.1</f>
        <v>880.07585335018973</v>
      </c>
      <c r="T51" s="1199"/>
      <c r="U51" s="1199"/>
      <c r="V51" s="1203">
        <f>V50/79.1</f>
        <v>954.55120101137811</v>
      </c>
      <c r="W51" s="1199"/>
      <c r="X51" s="141"/>
    </row>
    <row r="52" spans="1:24" s="11" customFormat="1" ht="9.6" customHeight="1">
      <c r="A52" s="11" t="s">
        <v>2308</v>
      </c>
      <c r="B52" s="887">
        <v>1198923</v>
      </c>
      <c r="C52" s="1200">
        <v>1295352</v>
      </c>
      <c r="D52" s="1200">
        <v>5375</v>
      </c>
      <c r="E52" s="1200">
        <v>1300727</v>
      </c>
      <c r="F52" s="1200">
        <v>934727</v>
      </c>
      <c r="G52" s="642">
        <f>(F52/B52)*100</f>
        <v>77.963889257275071</v>
      </c>
      <c r="H52" s="1200">
        <v>264196</v>
      </c>
      <c r="I52" s="1200">
        <v>365999.9</v>
      </c>
      <c r="J52" s="642">
        <f>(I52/B52)*100</f>
        <v>30.527389999190941</v>
      </c>
      <c r="K52" s="1200">
        <v>340370</v>
      </c>
      <c r="L52" s="642">
        <f>(K52/B52)*100</f>
        <v>28.38964637428759</v>
      </c>
      <c r="M52" s="1198" t="s">
        <v>2366</v>
      </c>
      <c r="N52" s="1198" t="s">
        <v>2392</v>
      </c>
      <c r="O52" s="1198" t="s">
        <v>2368</v>
      </c>
      <c r="P52" s="1198" t="s">
        <v>2367</v>
      </c>
      <c r="Q52" s="1207">
        <f>(B52/M52)*100</f>
        <v>164.25920369586393</v>
      </c>
      <c r="R52" s="1198" t="s">
        <v>2369</v>
      </c>
      <c r="S52" s="1200">
        <v>78009</v>
      </c>
      <c r="T52" s="1198"/>
      <c r="U52" s="1207">
        <v>47491</v>
      </c>
      <c r="V52" s="1200">
        <v>84283</v>
      </c>
      <c r="W52" s="1198" t="s">
        <v>2395</v>
      </c>
      <c r="X52" s="141"/>
    </row>
    <row r="53" spans="1:24" s="11" customFormat="1" ht="9.6" customHeight="1">
      <c r="A53" s="543"/>
      <c r="B53" s="1203">
        <f>(B52/79.93)*10</f>
        <v>149996.62204428873</v>
      </c>
      <c r="C53" s="1203">
        <f>(C52/79.93)*10</f>
        <v>162060.80320280243</v>
      </c>
      <c r="D53" s="1203">
        <f>(D52/79.93)*10</f>
        <v>672.46340547979469</v>
      </c>
      <c r="E53" s="1203">
        <f>(E52/79.93)*10</f>
        <v>162733.26660828223</v>
      </c>
      <c r="F53" s="1203">
        <f>(F52/79.93)*10</f>
        <v>116943.20030026272</v>
      </c>
      <c r="G53" s="1203"/>
      <c r="H53" s="1203">
        <f>(H52/79.93)*10</f>
        <v>33053.421744026018</v>
      </c>
      <c r="I53" s="1203">
        <f>(I52/79.93)*10</f>
        <v>45790.05379707244</v>
      </c>
      <c r="J53" s="1203"/>
      <c r="K53" s="1203">
        <f>(K52/79.93)*10</f>
        <v>42583.510571750274</v>
      </c>
      <c r="L53" s="1199"/>
      <c r="M53" s="1199"/>
      <c r="N53" s="1199"/>
      <c r="O53" s="1199"/>
      <c r="P53" s="1199"/>
      <c r="Q53" s="1199"/>
      <c r="R53" s="1199"/>
      <c r="S53" s="1203">
        <f>S52/79.93</f>
        <v>975.96647066182902</v>
      </c>
      <c r="T53" s="1199"/>
      <c r="U53" s="1199"/>
      <c r="V53" s="1203">
        <f>V52/79.93</f>
        <v>1054.4601526335543</v>
      </c>
      <c r="W53" s="1199"/>
      <c r="X53" s="141"/>
    </row>
    <row r="54" spans="1:24" s="11" customFormat="1" ht="9.9499999999999993" customHeight="1">
      <c r="A54" s="676" t="s">
        <v>2557</v>
      </c>
      <c r="B54" s="887">
        <v>1343674</v>
      </c>
      <c r="C54" s="1200">
        <v>1433224</v>
      </c>
      <c r="D54" s="1200">
        <v>6334</v>
      </c>
      <c r="E54" s="1200">
        <v>1439558</v>
      </c>
      <c r="F54" s="1200">
        <v>1046856</v>
      </c>
      <c r="G54" s="642">
        <f>(F54/B54)*100</f>
        <v>77.909969233608749</v>
      </c>
      <c r="H54" s="1200">
        <v>296817</v>
      </c>
      <c r="I54" s="1200">
        <v>392701</v>
      </c>
      <c r="J54" s="642">
        <f>(I54/B54)*100</f>
        <v>29.225913428405999</v>
      </c>
      <c r="K54" s="1200">
        <v>383994</v>
      </c>
      <c r="L54" s="642">
        <f>(K54/B54)*100</f>
        <v>28.577913988065557</v>
      </c>
      <c r="M54" s="1198" t="s">
        <v>2558</v>
      </c>
      <c r="N54" s="1198">
        <v>825728</v>
      </c>
      <c r="O54" s="1198" t="s">
        <v>2559</v>
      </c>
      <c r="P54" s="1198" t="s">
        <v>2560</v>
      </c>
      <c r="Q54" s="1207">
        <f>(B54/M54)*100</f>
        <v>173.57079376233634</v>
      </c>
      <c r="R54" s="1198" t="s">
        <v>2370</v>
      </c>
      <c r="S54" s="1200">
        <v>86266</v>
      </c>
      <c r="T54" s="1198"/>
      <c r="U54" s="1207">
        <v>49701</v>
      </c>
      <c r="V54" s="1200">
        <v>92015</v>
      </c>
      <c r="W54" s="1198" t="s">
        <v>2734</v>
      </c>
      <c r="X54" s="141"/>
    </row>
    <row r="55" spans="1:24" s="11" customFormat="1" ht="9.75" customHeight="1">
      <c r="A55" s="543"/>
      <c r="B55" s="1203">
        <f>(B54/77.72)*10</f>
        <v>172886.51569737517</v>
      </c>
      <c r="C55" s="1203">
        <f>(C54/77.72)*10</f>
        <v>184408.64642305713</v>
      </c>
      <c r="D55" s="1203">
        <f>(D54/77.72)*10</f>
        <v>814.97683993823989</v>
      </c>
      <c r="E55" s="1203">
        <f>(E54/77.72)*10</f>
        <v>185223.62326299539</v>
      </c>
      <c r="F55" s="1203">
        <f>(F54/77.72)*10</f>
        <v>134695.83118888317</v>
      </c>
      <c r="G55" s="1203"/>
      <c r="H55" s="1203">
        <f>(H54/77.72)*10</f>
        <v>38190.555841482244</v>
      </c>
      <c r="I55" s="1203">
        <f>(I54/77.72)*10</f>
        <v>50527.663407102416</v>
      </c>
      <c r="J55" s="1203"/>
      <c r="K55" s="1203">
        <f>(K54/77.72)*10</f>
        <v>49407.359752959346</v>
      </c>
      <c r="L55" s="1199"/>
      <c r="M55" s="1199"/>
      <c r="N55" s="1199"/>
      <c r="O55" s="1199"/>
      <c r="P55" s="1199"/>
      <c r="Q55" s="1199"/>
      <c r="R55" s="1199"/>
      <c r="S55" s="1203">
        <f>S54/77.72</f>
        <v>1109.9588265568709</v>
      </c>
      <c r="T55" s="1199"/>
      <c r="U55" s="1199"/>
      <c r="V55" s="1203">
        <f>V54/77.72</f>
        <v>1183.9294904786414</v>
      </c>
      <c r="W55" s="1199"/>
      <c r="X55" s="141"/>
    </row>
    <row r="56" spans="1:24" s="11" customFormat="1" ht="10.5" customHeight="1">
      <c r="A56" s="676" t="s">
        <v>2729</v>
      </c>
      <c r="B56" s="887">
        <v>1515802</v>
      </c>
      <c r="C56" s="1200">
        <v>1614204</v>
      </c>
      <c r="D56" s="1200">
        <v>5600</v>
      </c>
      <c r="E56" s="1200">
        <v>1619804</v>
      </c>
      <c r="F56" s="1200">
        <v>1179924</v>
      </c>
      <c r="G56" s="642">
        <f>(F56/B56)*100</f>
        <v>77.84156505928874</v>
      </c>
      <c r="H56" s="1200">
        <v>335879</v>
      </c>
      <c r="I56" s="1200">
        <v>439881</v>
      </c>
      <c r="J56" s="642">
        <f>(I56/B56)*100</f>
        <v>29.01968726786216</v>
      </c>
      <c r="K56" s="1200">
        <v>437865</v>
      </c>
      <c r="L56" s="642">
        <f>(K56/B56)*100</f>
        <v>28.886688366950303</v>
      </c>
      <c r="M56" s="1198" t="s">
        <v>2730</v>
      </c>
      <c r="N56" s="1198" t="s">
        <v>2731</v>
      </c>
      <c r="O56" s="1198" t="s">
        <v>2732</v>
      </c>
      <c r="P56" s="1198" t="s">
        <v>2733</v>
      </c>
      <c r="Q56" s="1207">
        <f>(B56/M56)*100</f>
        <v>183.76431451564019</v>
      </c>
      <c r="R56" s="1198" t="s">
        <v>2561</v>
      </c>
      <c r="S56" s="1200">
        <v>96004</v>
      </c>
      <c r="T56" s="1198"/>
      <c r="U56" s="1200">
        <v>52240</v>
      </c>
      <c r="V56" s="1200">
        <v>102236</v>
      </c>
      <c r="W56" s="1198" t="s">
        <v>2951</v>
      </c>
      <c r="X56" s="141"/>
    </row>
    <row r="57" spans="1:24" s="11" customFormat="1" ht="9.75" customHeight="1">
      <c r="A57" s="543"/>
      <c r="B57" s="1203">
        <f>(B56/77.67)*10</f>
        <v>195159.26355092056</v>
      </c>
      <c r="C57" s="1203">
        <f>(C56/77.67)*10</f>
        <v>207828.50521436849</v>
      </c>
      <c r="D57" s="1203">
        <f>(D56/77.67)*10</f>
        <v>720.99909875112655</v>
      </c>
      <c r="E57" s="1203">
        <f>(E56/77.67)*10</f>
        <v>208549.50431311963</v>
      </c>
      <c r="F57" s="1203">
        <f>(F56/77.67)*10</f>
        <v>151915.02510621861</v>
      </c>
      <c r="G57" s="1203"/>
      <c r="H57" s="1203">
        <f>(H56/77.67)*10</f>
        <v>43244.36719454101</v>
      </c>
      <c r="I57" s="1203">
        <f>(I56/77.67)*10</f>
        <v>56634.607956740059</v>
      </c>
      <c r="J57" s="1203"/>
      <c r="K57" s="1203">
        <f>(K56/77.67)*10</f>
        <v>56375.048281189651</v>
      </c>
      <c r="L57" s="1199"/>
      <c r="M57" s="1199"/>
      <c r="N57" s="1199"/>
      <c r="O57" s="1199"/>
      <c r="P57" s="1199"/>
      <c r="Q57" s="1199"/>
      <c r="R57" s="1199"/>
      <c r="S57" s="1203">
        <f>S56/77.67</f>
        <v>1236.0499549375563</v>
      </c>
      <c r="T57" s="1199"/>
      <c r="U57" s="1199"/>
      <c r="V57" s="1203">
        <f>V56/77.67</f>
        <v>1316.2868546414318</v>
      </c>
      <c r="W57" s="1199"/>
      <c r="X57" s="141"/>
    </row>
    <row r="58" spans="1:24" s="11" customFormat="1" ht="10.5" customHeight="1">
      <c r="A58" s="1040" t="s">
        <v>2905</v>
      </c>
      <c r="B58" s="1193">
        <v>1732864</v>
      </c>
      <c r="C58" s="1193">
        <v>1832675</v>
      </c>
      <c r="D58" s="1193">
        <v>583</v>
      </c>
      <c r="E58" s="1193">
        <v>1833258</v>
      </c>
      <c r="F58" s="1193">
        <v>1300034</v>
      </c>
      <c r="G58" s="642">
        <f>(F58/B58)*100</f>
        <v>75.022275262224852</v>
      </c>
      <c r="H58" s="1193">
        <v>432830</v>
      </c>
      <c r="I58" s="1193">
        <v>533224</v>
      </c>
      <c r="J58" s="642">
        <f>(I58/B58)*100</f>
        <v>30.771254985965431</v>
      </c>
      <c r="K58" s="1193">
        <v>513839</v>
      </c>
      <c r="L58" s="642">
        <f>(K58/B58)*100</f>
        <v>29.652586700398874</v>
      </c>
      <c r="M58" s="1193">
        <v>883539</v>
      </c>
      <c r="N58" s="1193">
        <v>934430</v>
      </c>
      <c r="O58" s="483">
        <v>14.32</v>
      </c>
      <c r="P58" s="1193">
        <v>7.11</v>
      </c>
      <c r="Q58" s="1207">
        <f>(B58/M58)*100</f>
        <v>196.12761858842677</v>
      </c>
      <c r="R58" s="1193">
        <v>15.99</v>
      </c>
      <c r="S58" s="1193">
        <v>108378</v>
      </c>
      <c r="T58" s="1193"/>
      <c r="U58" s="1200">
        <v>55259</v>
      </c>
      <c r="V58" s="1193">
        <v>114621</v>
      </c>
      <c r="W58" s="1193">
        <v>58442</v>
      </c>
      <c r="X58" s="141"/>
    </row>
    <row r="59" spans="1:24" s="11" customFormat="1" ht="11.25" customHeight="1" thickBot="1">
      <c r="A59" s="644"/>
      <c r="B59" s="1208">
        <f>(B58/78.2658)*10</f>
        <v>221407.56243467773</v>
      </c>
      <c r="C59" s="1208">
        <f>(C58/78.2658)*10</f>
        <v>234160.38678452146</v>
      </c>
      <c r="D59" s="1208">
        <f>(D58/78.2658)*10</f>
        <v>74.489751590094272</v>
      </c>
      <c r="E59" s="1208">
        <f>(E58/78.2658)*10</f>
        <v>234234.87653611155</v>
      </c>
      <c r="F59" s="1208">
        <f>(F58/78.2658)*10</f>
        <v>166104.99094112628</v>
      </c>
      <c r="G59" s="1208"/>
      <c r="H59" s="1208">
        <f>(H58/78.2658)*10</f>
        <v>55302.571493551455</v>
      </c>
      <c r="I59" s="1208">
        <f>(I58/78.2658)*10</f>
        <v>68129.885594985302</v>
      </c>
      <c r="J59" s="1208"/>
      <c r="K59" s="1208">
        <f>(K58/78.2658)*10</f>
        <v>65653.06941218258</v>
      </c>
      <c r="L59" s="1209"/>
      <c r="M59" s="1209"/>
      <c r="N59" s="1209"/>
      <c r="O59" s="1209"/>
      <c r="P59" s="1209"/>
      <c r="Q59" s="1209"/>
      <c r="R59" s="1209"/>
      <c r="S59" s="1208">
        <f>(S58/78.2658)</f>
        <v>1384.742761206044</v>
      </c>
      <c r="T59" s="1209"/>
      <c r="U59" s="1209"/>
      <c r="V59" s="1208">
        <f>(V58/78.2658)</f>
        <v>1464.5094025743044</v>
      </c>
      <c r="W59" s="1209"/>
      <c r="X59" s="141"/>
    </row>
    <row r="60" spans="1:24" ht="10.5" customHeight="1">
      <c r="A60" s="2029" t="s">
        <v>487</v>
      </c>
      <c r="B60" s="2029"/>
      <c r="C60" s="2029"/>
      <c r="D60" s="2029"/>
      <c r="E60" s="2029"/>
      <c r="F60" s="2029"/>
      <c r="G60" s="11"/>
      <c r="I60" s="77"/>
      <c r="J60" s="77"/>
      <c r="K60" s="77"/>
      <c r="L60" s="2026" t="s">
        <v>801</v>
      </c>
      <c r="M60" s="2027"/>
      <c r="N60" s="2027"/>
      <c r="O60" s="2027"/>
      <c r="P60" s="2027"/>
      <c r="Q60" s="2027"/>
      <c r="R60" s="2027"/>
      <c r="S60" s="2027"/>
      <c r="T60" s="77"/>
      <c r="U60" s="77"/>
      <c r="V60" s="77"/>
      <c r="W60" s="77"/>
      <c r="X60" s="80"/>
    </row>
    <row r="61" spans="1:24" ht="9.75" customHeight="1">
      <c r="A61" s="2025" t="s">
        <v>2909</v>
      </c>
      <c r="B61" s="2025"/>
      <c r="C61" s="2025"/>
      <c r="D61" s="2025"/>
      <c r="E61" s="2025"/>
      <c r="F61" s="2025"/>
      <c r="G61" s="2025"/>
      <c r="H61" s="2025"/>
      <c r="I61" s="77"/>
      <c r="J61" s="77"/>
      <c r="K61" s="77"/>
      <c r="L61" s="2028"/>
      <c r="M61" s="2028"/>
      <c r="N61" s="2028"/>
      <c r="O61" s="77"/>
      <c r="P61" s="77"/>
      <c r="Q61" s="77"/>
      <c r="R61" s="77"/>
      <c r="S61" s="21"/>
      <c r="T61" s="77"/>
      <c r="U61" s="77"/>
      <c r="V61" s="77"/>
      <c r="W61" s="77"/>
      <c r="X61" s="80"/>
    </row>
    <row r="62" spans="1:24">
      <c r="N62" s="80"/>
    </row>
    <row r="64" spans="1:24">
      <c r="M64" s="80"/>
      <c r="N64" s="80"/>
    </row>
    <row r="65" spans="13:18">
      <c r="M65" s="80"/>
      <c r="P65" s="80"/>
      <c r="Q65" s="80"/>
      <c r="R65" s="80"/>
    </row>
    <row r="66" spans="13:18">
      <c r="M66" s="80"/>
      <c r="N66" s="80"/>
    </row>
    <row r="67" spans="13:18">
      <c r="M67" s="80"/>
    </row>
    <row r="68" spans="13:18">
      <c r="M68" s="80"/>
      <c r="N68" s="80"/>
    </row>
    <row r="69" spans="13:18">
      <c r="M69" s="80"/>
    </row>
    <row r="70" spans="13:18">
      <c r="M70" s="80"/>
      <c r="N70" s="80"/>
    </row>
    <row r="71" spans="13:18">
      <c r="M71" s="80"/>
      <c r="N71" s="80"/>
    </row>
    <row r="72" spans="13:18">
      <c r="M72" s="80"/>
      <c r="N72" s="80"/>
    </row>
    <row r="73" spans="13:18">
      <c r="M73" s="80"/>
      <c r="N73" s="80"/>
    </row>
    <row r="74" spans="13:18">
      <c r="M74" s="80"/>
      <c r="N74" s="80"/>
    </row>
    <row r="75" spans="13:18">
      <c r="N75" s="80"/>
    </row>
    <row r="76" spans="13:18">
      <c r="N76" s="80"/>
    </row>
  </sheetData>
  <mergeCells count="51">
    <mergeCell ref="S20:T20"/>
    <mergeCell ref="S17:T17"/>
    <mergeCell ref="S14:T14"/>
    <mergeCell ref="S13:T13"/>
    <mergeCell ref="A3:A5"/>
    <mergeCell ref="S12:T12"/>
    <mergeCell ref="S10:T10"/>
    <mergeCell ref="S15:T15"/>
    <mergeCell ref="S16:T16"/>
    <mergeCell ref="S19:T19"/>
    <mergeCell ref="S18:T18"/>
    <mergeCell ref="S3:W3"/>
    <mergeCell ref="S4:T4"/>
    <mergeCell ref="S5:T5"/>
    <mergeCell ref="S9:T9"/>
    <mergeCell ref="S11:T11"/>
    <mergeCell ref="A61:H61"/>
    <mergeCell ref="S21:T21"/>
    <mergeCell ref="S22:T22"/>
    <mergeCell ref="S23:T23"/>
    <mergeCell ref="S24:T24"/>
    <mergeCell ref="L60:S60"/>
    <mergeCell ref="S25:T25"/>
    <mergeCell ref="L61:N61"/>
    <mergeCell ref="A60:F60"/>
    <mergeCell ref="S6:T6"/>
    <mergeCell ref="S7:T7"/>
    <mergeCell ref="S8:T8"/>
    <mergeCell ref="Q3:Q4"/>
    <mergeCell ref="B3:B4"/>
    <mergeCell ref="C3:C4"/>
    <mergeCell ref="D3:D4"/>
    <mergeCell ref="H3:H4"/>
    <mergeCell ref="I3:I4"/>
    <mergeCell ref="E3:E4"/>
    <mergeCell ref="F3:F4"/>
    <mergeCell ref="G3:G4"/>
    <mergeCell ref="K3:K4"/>
    <mergeCell ref="L3:L4"/>
    <mergeCell ref="J3:J4"/>
    <mergeCell ref="P3:P4"/>
    <mergeCell ref="D2:E2"/>
    <mergeCell ref="J2:K2"/>
    <mergeCell ref="V2:W2"/>
    <mergeCell ref="B1:K1"/>
    <mergeCell ref="L1:O1"/>
    <mergeCell ref="N3:N4"/>
    <mergeCell ref="O3:O4"/>
    <mergeCell ref="M3:M4"/>
    <mergeCell ref="R3:R4"/>
    <mergeCell ref="U1:W1"/>
  </mergeCells>
  <phoneticPr fontId="47" type="noConversion"/>
  <pageMargins left="0.47244094488188998" right="0.47244094488188998" top="0.511811023622047" bottom="0" header="0" footer="0"/>
  <pageSetup paperSize="512" firstPageNumber="50" orientation="portrait" useFirstPageNumber="1" r:id="rId1"/>
  <headerFooter>
    <oddFooter>&amp;C&amp;"Times New Roman,Regular"&amp;8&amp;P</oddFooter>
  </headerFooter>
  <ignoredErrors>
    <ignoredError sqref="J12 N32 Q32 R30 B6:R11 B31:R31 B30:Q30 B33:R33 B32:M32 R32 O32:P32 B13:R29 B12:I12 K12:R12 G35 G34 U32 S6:V28 S33:V33 S32:T32 V32 W26:W33 W10:W12 J34 L34 J35 L35:M35 S30:V31 T29:V29 N35:R35 T34 N34:S34 U34:W34 S35:W35 M34 R36 T38 T36 P36:P37 O36:O37 N36:N37 N39:Q39 Q38 Q36:Q37 U36:U37 W36:W37 M48 O48:P48 R48 M50 O50:P50 R50 M52 O52:P52 R52 R54 N48:N52 W48:W53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>
  <dimension ref="A1:K137"/>
  <sheetViews>
    <sheetView zoomScale="140" zoomScaleNormal="140" workbookViewId="0">
      <pane xSplit="1" ySplit="3" topLeftCell="B53" activePane="bottomRight" state="frozen"/>
      <selection pane="topRight" activeCell="B1" sqref="B1"/>
      <selection pane="bottomLeft" activeCell="A4" sqref="A4"/>
      <selection pane="bottomRight" activeCell="B36" sqref="B36"/>
    </sheetView>
  </sheetViews>
  <sheetFormatPr defaultColWidth="9.140625" defaultRowHeight="12.75"/>
  <cols>
    <col min="1" max="1" width="10.7109375" style="2" customWidth="1"/>
    <col min="2" max="2" width="15.7109375" style="154" customWidth="1"/>
    <col min="3" max="3" width="16.85546875" style="154" customWidth="1"/>
    <col min="4" max="5" width="17.140625" style="154" customWidth="1"/>
    <col min="6" max="6" width="13.28515625" style="2" customWidth="1"/>
    <col min="7" max="7" width="15.7109375" style="2" customWidth="1"/>
    <col min="8" max="8" width="15.42578125" style="2" customWidth="1"/>
    <col min="9" max="9" width="16.85546875" style="2" customWidth="1"/>
    <col min="10" max="10" width="2.42578125" style="2" customWidth="1"/>
    <col min="11" max="11" width="13.7109375" style="2" customWidth="1"/>
    <col min="12" max="16384" width="9.140625" style="2"/>
  </cols>
  <sheetData>
    <row r="1" spans="1:11" s="5" customFormat="1" ht="15.75" customHeight="1">
      <c r="A1" s="2036" t="s">
        <v>890</v>
      </c>
      <c r="B1" s="2036"/>
      <c r="C1" s="2036"/>
      <c r="D1" s="2036"/>
      <c r="E1" s="2036"/>
      <c r="F1" s="2039" t="s">
        <v>1006</v>
      </c>
      <c r="G1" s="2039"/>
      <c r="H1" s="2039"/>
      <c r="I1" s="2039"/>
      <c r="J1" s="2039"/>
      <c r="K1" s="157" t="s">
        <v>791</v>
      </c>
    </row>
    <row r="2" spans="1:11" s="5" customFormat="1" ht="11.1" customHeight="1">
      <c r="A2" s="137"/>
      <c r="B2" s="137"/>
      <c r="C2" s="137"/>
      <c r="D2" s="137"/>
      <c r="G2" s="110"/>
      <c r="H2" s="140"/>
      <c r="I2" s="140"/>
      <c r="J2" s="140"/>
      <c r="K2" s="156"/>
    </row>
    <row r="3" spans="1:11" s="170" customFormat="1" ht="24" customHeight="1">
      <c r="A3" s="89" t="s">
        <v>2006</v>
      </c>
      <c r="B3" s="1557" t="s">
        <v>2239</v>
      </c>
      <c r="C3" s="1557" t="s">
        <v>2156</v>
      </c>
      <c r="D3" s="1557" t="s">
        <v>2157</v>
      </c>
      <c r="E3" s="1557" t="s">
        <v>2009</v>
      </c>
      <c r="F3" s="89" t="s">
        <v>2007</v>
      </c>
      <c r="G3" s="89" t="s">
        <v>2240</v>
      </c>
      <c r="H3" s="89" t="s">
        <v>2156</v>
      </c>
      <c r="I3" s="89" t="s">
        <v>2157</v>
      </c>
      <c r="J3" s="2037" t="s">
        <v>2008</v>
      </c>
      <c r="K3" s="2038"/>
    </row>
    <row r="4" spans="1:11" s="10" customFormat="1" ht="12" hidden="1" customHeight="1">
      <c r="A4" s="8" t="s">
        <v>1196</v>
      </c>
      <c r="B4" s="21">
        <v>956.7</v>
      </c>
      <c r="C4" s="21">
        <v>819.91</v>
      </c>
      <c r="D4" s="37">
        <v>2001.05</v>
      </c>
      <c r="E4" s="37">
        <v>192</v>
      </c>
      <c r="F4" s="1108">
        <v>42614</v>
      </c>
      <c r="G4" s="1109">
        <v>4549.04</v>
      </c>
      <c r="H4" s="1109">
        <v>407.22300000000001</v>
      </c>
      <c r="I4" s="1110">
        <v>58244.2</v>
      </c>
      <c r="J4" s="1110"/>
      <c r="K4" s="1111">
        <v>330</v>
      </c>
    </row>
    <row r="5" spans="1:11" s="10" customFormat="1" ht="9.75" customHeight="1">
      <c r="A5" s="556" t="s">
        <v>1197</v>
      </c>
      <c r="B5" s="534">
        <v>1111.55</v>
      </c>
      <c r="C5" s="537">
        <v>3541.35</v>
      </c>
      <c r="D5" s="534">
        <v>2479.2600000000002</v>
      </c>
      <c r="E5" s="534">
        <v>203</v>
      </c>
      <c r="F5" s="965">
        <v>42705</v>
      </c>
      <c r="G5" s="734">
        <v>4823.0200000000004</v>
      </c>
      <c r="H5" s="734">
        <v>803.45299999999997</v>
      </c>
      <c r="I5" s="537">
        <v>59635.4</v>
      </c>
      <c r="J5" s="537"/>
      <c r="K5" s="534">
        <v>331</v>
      </c>
    </row>
    <row r="6" spans="1:11" s="10" customFormat="1" ht="9.75" customHeight="1">
      <c r="A6" s="8" t="s">
        <v>1198</v>
      </c>
      <c r="B6" s="37">
        <v>676.48</v>
      </c>
      <c r="C6" s="21">
        <v>1261.69</v>
      </c>
      <c r="D6" s="37">
        <v>2666.94</v>
      </c>
      <c r="E6" s="37">
        <v>213</v>
      </c>
      <c r="F6" s="966">
        <v>42708</v>
      </c>
      <c r="G6" s="392">
        <v>4822.29</v>
      </c>
      <c r="H6" s="392">
        <v>733.4</v>
      </c>
      <c r="I6" s="43">
        <v>59635.4</v>
      </c>
      <c r="J6" s="43"/>
      <c r="K6" s="42">
        <v>331</v>
      </c>
    </row>
    <row r="7" spans="1:11" s="10" customFormat="1" ht="12" customHeight="1">
      <c r="A7" s="556" t="s">
        <v>1199</v>
      </c>
      <c r="B7" s="534">
        <v>546.79</v>
      </c>
      <c r="C7" s="537">
        <v>5189.38</v>
      </c>
      <c r="D7" s="534">
        <v>2731.49</v>
      </c>
      <c r="E7" s="534">
        <v>219</v>
      </c>
      <c r="F7" s="965">
        <v>42709</v>
      </c>
      <c r="G7" s="734">
        <v>4836.33</v>
      </c>
      <c r="H7" s="734">
        <v>807.78599999999994</v>
      </c>
      <c r="I7" s="537">
        <v>59635.4</v>
      </c>
      <c r="J7" s="537"/>
      <c r="K7" s="534">
        <v>331</v>
      </c>
    </row>
    <row r="8" spans="1:11" s="10" customFormat="1" ht="11.25" customHeight="1">
      <c r="A8" s="8" t="s">
        <v>1200</v>
      </c>
      <c r="B8" s="21">
        <v>561</v>
      </c>
      <c r="C8" s="21">
        <v>2485.91</v>
      </c>
      <c r="D8" s="21">
        <v>2947.7</v>
      </c>
      <c r="E8" s="37">
        <v>229</v>
      </c>
      <c r="F8" s="966">
        <v>42710</v>
      </c>
      <c r="G8" s="392">
        <v>4846.09</v>
      </c>
      <c r="H8" s="43">
        <v>795.36400000000003</v>
      </c>
      <c r="I8" s="43">
        <v>59635.4</v>
      </c>
      <c r="J8" s="43"/>
      <c r="K8" s="42">
        <v>331</v>
      </c>
    </row>
    <row r="9" spans="1:11" s="10" customFormat="1" ht="10.5" customHeight="1">
      <c r="A9" s="556" t="s">
        <v>1201</v>
      </c>
      <c r="B9" s="534">
        <v>716.06</v>
      </c>
      <c r="C9" s="537">
        <v>4909</v>
      </c>
      <c r="D9" s="537">
        <v>3134</v>
      </c>
      <c r="E9" s="534">
        <v>234</v>
      </c>
      <c r="F9" s="965">
        <v>42711</v>
      </c>
      <c r="G9" s="734">
        <v>4871.29</v>
      </c>
      <c r="H9" s="537">
        <v>864.24599999999998</v>
      </c>
      <c r="I9" s="537">
        <v>59635.4</v>
      </c>
      <c r="J9" s="537"/>
      <c r="K9" s="534">
        <v>331</v>
      </c>
    </row>
    <row r="10" spans="1:11" s="10" customFormat="1" ht="11.25" customHeight="1">
      <c r="A10" s="8" t="s">
        <v>1202</v>
      </c>
      <c r="B10" s="37">
        <v>792.56</v>
      </c>
      <c r="C10" s="21">
        <v>3493.6</v>
      </c>
      <c r="D10" s="21">
        <v>3426.1</v>
      </c>
      <c r="E10" s="37">
        <v>248</v>
      </c>
      <c r="F10" s="966">
        <v>42712</v>
      </c>
      <c r="G10" s="392">
        <v>4892.82</v>
      </c>
      <c r="H10" s="483">
        <v>1149.8330000000001</v>
      </c>
      <c r="I10" s="43">
        <v>59635.4</v>
      </c>
      <c r="J10" s="315"/>
      <c r="K10" s="42">
        <v>331</v>
      </c>
    </row>
    <row r="11" spans="1:11" s="10" customFormat="1" ht="10.5" customHeight="1">
      <c r="A11" s="556" t="s">
        <v>1203</v>
      </c>
      <c r="B11" s="534">
        <v>830.46</v>
      </c>
      <c r="C11" s="537">
        <v>3060</v>
      </c>
      <c r="D11" s="537">
        <v>3553.7</v>
      </c>
      <c r="E11" s="534">
        <v>251</v>
      </c>
      <c r="F11" s="965">
        <v>42715</v>
      </c>
      <c r="G11" s="734">
        <v>4861.12</v>
      </c>
      <c r="H11" s="734">
        <v>823.64</v>
      </c>
      <c r="I11" s="537">
        <v>59635.4</v>
      </c>
      <c r="J11" s="543"/>
      <c r="K11" s="534">
        <v>331</v>
      </c>
    </row>
    <row r="12" spans="1:11" s="10" customFormat="1" ht="12" customHeight="1">
      <c r="A12" s="8" t="s">
        <v>1204</v>
      </c>
      <c r="B12" s="37">
        <v>1318.92</v>
      </c>
      <c r="C12" s="21">
        <v>2477</v>
      </c>
      <c r="D12" s="21">
        <v>4871.8</v>
      </c>
      <c r="E12" s="37">
        <v>259</v>
      </c>
      <c r="F12" s="966">
        <v>42716</v>
      </c>
      <c r="G12" s="392">
        <v>4869.6000000000004</v>
      </c>
      <c r="H12" s="392">
        <v>741.23699999999997</v>
      </c>
      <c r="I12" s="43">
        <v>59635.4</v>
      </c>
      <c r="J12" s="315"/>
      <c r="K12" s="42">
        <v>331</v>
      </c>
    </row>
    <row r="13" spans="1:11" s="10" customFormat="1" ht="11.25" customHeight="1">
      <c r="A13" s="556" t="s">
        <v>1205</v>
      </c>
      <c r="B13" s="534">
        <v>1713.17</v>
      </c>
      <c r="C13" s="537">
        <v>7526</v>
      </c>
      <c r="D13" s="534">
        <v>5266.52</v>
      </c>
      <c r="E13" s="534">
        <v>251</v>
      </c>
      <c r="F13" s="965">
        <v>42718</v>
      </c>
      <c r="G13" s="734">
        <v>4906.92</v>
      </c>
      <c r="H13" s="734">
        <v>1064.635</v>
      </c>
      <c r="I13" s="537">
        <v>59635.4</v>
      </c>
      <c r="J13" s="537"/>
      <c r="K13" s="534">
        <v>331</v>
      </c>
    </row>
    <row r="14" spans="1:11" s="10" customFormat="1" ht="11.25" customHeight="1">
      <c r="A14" s="592" t="s">
        <v>1210</v>
      </c>
      <c r="B14" s="587">
        <v>1339.52</v>
      </c>
      <c r="C14" s="598">
        <v>4599.3599999999997</v>
      </c>
      <c r="D14" s="598">
        <v>6455</v>
      </c>
      <c r="E14" s="587">
        <v>269</v>
      </c>
      <c r="F14" s="966">
        <v>42719</v>
      </c>
      <c r="G14" s="392">
        <v>4925.72</v>
      </c>
      <c r="H14" s="392">
        <v>1023.05</v>
      </c>
      <c r="I14" s="43">
        <v>59635.4</v>
      </c>
      <c r="J14" s="43"/>
      <c r="K14" s="42">
        <v>331</v>
      </c>
    </row>
    <row r="15" spans="1:11" s="10" customFormat="1" ht="10.5" customHeight="1">
      <c r="A15" s="556" t="s">
        <v>1219</v>
      </c>
      <c r="B15" s="534">
        <v>2149.3200000000002</v>
      </c>
      <c r="C15" s="537">
        <v>16467.09</v>
      </c>
      <c r="D15" s="537">
        <v>8358.6</v>
      </c>
      <c r="E15" s="534">
        <v>273</v>
      </c>
      <c r="F15" s="965">
        <v>42722</v>
      </c>
      <c r="G15" s="734">
        <v>4938.59</v>
      </c>
      <c r="H15" s="734">
        <v>975.01700000000005</v>
      </c>
      <c r="I15" s="537">
        <v>59635.4</v>
      </c>
      <c r="J15" s="537"/>
      <c r="K15" s="534">
        <v>331</v>
      </c>
    </row>
    <row r="16" spans="1:11" s="16" customFormat="1" ht="11.25" customHeight="1">
      <c r="A16" s="257" t="s">
        <v>916</v>
      </c>
      <c r="B16" s="21">
        <v>3000.5</v>
      </c>
      <c r="C16" s="21">
        <v>54323.95</v>
      </c>
      <c r="D16" s="21">
        <v>10883.6</v>
      </c>
      <c r="E16" s="37">
        <v>286</v>
      </c>
      <c r="F16" s="966">
        <v>42723</v>
      </c>
      <c r="G16" s="392">
        <v>4941.6499999999996</v>
      </c>
      <c r="H16" s="392">
        <v>1120.1559999999999</v>
      </c>
      <c r="I16" s="43">
        <v>59635.4</v>
      </c>
      <c r="J16" s="43"/>
      <c r="K16" s="42">
        <v>331</v>
      </c>
    </row>
    <row r="17" spans="1:11" s="10" customFormat="1" ht="12" customHeight="1">
      <c r="A17" s="556" t="s">
        <v>230</v>
      </c>
      <c r="B17" s="534">
        <v>3010.26</v>
      </c>
      <c r="C17" s="537">
        <v>89378.94</v>
      </c>
      <c r="D17" s="537">
        <v>14704</v>
      </c>
      <c r="E17" s="534">
        <v>300</v>
      </c>
      <c r="F17" s="965">
        <v>42724</v>
      </c>
      <c r="G17" s="734">
        <v>4931.17</v>
      </c>
      <c r="H17" s="734">
        <v>932.63199999999995</v>
      </c>
      <c r="I17" s="537">
        <v>59635.4</v>
      </c>
      <c r="J17" s="543"/>
      <c r="K17" s="534">
        <v>331</v>
      </c>
    </row>
    <row r="18" spans="1:11" s="16" customFormat="1" ht="12" customHeight="1">
      <c r="A18" s="257" t="s">
        <v>220</v>
      </c>
      <c r="B18" s="42">
        <v>6153.68</v>
      </c>
      <c r="C18" s="43">
        <v>256353.55100000001</v>
      </c>
      <c r="D18" s="43">
        <v>21744.6</v>
      </c>
      <c r="E18" s="42">
        <v>273</v>
      </c>
      <c r="F18" s="966">
        <v>42725</v>
      </c>
      <c r="G18" s="392">
        <v>4924.34</v>
      </c>
      <c r="H18" s="392">
        <v>744.67</v>
      </c>
      <c r="I18" s="43">
        <v>59635.4</v>
      </c>
      <c r="J18" s="315"/>
      <c r="K18" s="42">
        <v>331</v>
      </c>
    </row>
    <row r="19" spans="1:11" s="16" customFormat="1" ht="12" customHeight="1">
      <c r="A19" s="556" t="s">
        <v>489</v>
      </c>
      <c r="B19" s="534">
        <v>6117.23</v>
      </c>
      <c r="C19" s="537">
        <v>325879.77</v>
      </c>
      <c r="D19" s="537">
        <v>30104.5</v>
      </c>
      <c r="E19" s="534">
        <v>267</v>
      </c>
      <c r="F19" s="965">
        <v>42726</v>
      </c>
      <c r="G19" s="734">
        <v>4956.7299999999996</v>
      </c>
      <c r="H19" s="734">
        <v>900.06399999999996</v>
      </c>
      <c r="I19" s="537">
        <v>59635.4</v>
      </c>
      <c r="J19" s="543"/>
      <c r="K19" s="534">
        <v>331</v>
      </c>
    </row>
    <row r="20" spans="1:11" s="1094" customFormat="1" ht="12" customHeight="1">
      <c r="A20" s="743" t="s">
        <v>1580</v>
      </c>
      <c r="B20" s="483">
        <v>4572.88</v>
      </c>
      <c r="C20" s="483">
        <v>117145.07</v>
      </c>
      <c r="D20" s="483">
        <v>38410.899999999994</v>
      </c>
      <c r="E20" s="482">
        <v>279</v>
      </c>
      <c r="F20" s="966">
        <v>42730</v>
      </c>
      <c r="G20" s="392">
        <v>4993.53</v>
      </c>
      <c r="H20" s="392">
        <v>1081.809</v>
      </c>
      <c r="I20" s="43">
        <v>59635.4</v>
      </c>
      <c r="J20" s="315"/>
      <c r="K20" s="42">
        <v>331</v>
      </c>
    </row>
    <row r="21" spans="1:11" s="1094" customFormat="1" ht="12" customHeight="1">
      <c r="A21" s="757" t="s">
        <v>1809</v>
      </c>
      <c r="B21" s="531">
        <v>4385.7700000000004</v>
      </c>
      <c r="C21" s="531">
        <v>85716.56</v>
      </c>
      <c r="D21" s="531">
        <v>43407.3</v>
      </c>
      <c r="E21" s="530">
        <v>296</v>
      </c>
      <c r="F21" s="965">
        <v>42731</v>
      </c>
      <c r="G21" s="1464">
        <v>5016.75</v>
      </c>
      <c r="H21" s="1464">
        <v>1210.346</v>
      </c>
      <c r="I21" s="537">
        <v>59635.4</v>
      </c>
      <c r="J21" s="605"/>
      <c r="K21" s="534">
        <v>331</v>
      </c>
    </row>
    <row r="22" spans="1:11" s="114" customFormat="1" ht="12" customHeight="1">
      <c r="A22" s="168" t="s">
        <v>2226</v>
      </c>
      <c r="B22" s="259">
        <f>B34</f>
        <v>4480.5200000000004</v>
      </c>
      <c r="C22" s="259">
        <f>SUM(C23:C34)</f>
        <v>112539.85800000001</v>
      </c>
      <c r="D22" s="259">
        <f>D34</f>
        <v>48255.5</v>
      </c>
      <c r="E22" s="258">
        <f>E34</f>
        <v>307</v>
      </c>
      <c r="F22" s="966">
        <v>42732</v>
      </c>
      <c r="G22" s="1049">
        <v>5027.92</v>
      </c>
      <c r="H22" s="1049">
        <v>938.28300000000002</v>
      </c>
      <c r="I22" s="43">
        <v>59635.4</v>
      </c>
      <c r="J22" s="480"/>
      <c r="K22" s="42">
        <v>331</v>
      </c>
    </row>
    <row r="23" spans="1:11" s="114" customFormat="1" ht="12" hidden="1" customHeight="1">
      <c r="A23" s="556" t="s">
        <v>1211</v>
      </c>
      <c r="B23" s="537">
        <v>4342.3100000000004</v>
      </c>
      <c r="C23" s="537">
        <v>15304.64</v>
      </c>
      <c r="D23" s="537">
        <f>42924.6+653.4</f>
        <v>43578</v>
      </c>
      <c r="E23" s="534">
        <v>297</v>
      </c>
      <c r="F23" s="965">
        <v>42733</v>
      </c>
      <c r="G23" s="534">
        <v>5036.05</v>
      </c>
      <c r="H23" s="734">
        <v>1070.587</v>
      </c>
      <c r="I23" s="43">
        <v>59635.4</v>
      </c>
      <c r="J23" s="1369"/>
      <c r="K23" s="42">
        <v>331</v>
      </c>
    </row>
    <row r="24" spans="1:11" s="114" customFormat="1" ht="11.1" hidden="1" customHeight="1">
      <c r="A24" s="257" t="s">
        <v>1212</v>
      </c>
      <c r="B24" s="43">
        <v>4127.4799999999996</v>
      </c>
      <c r="C24" s="43">
        <v>7145.56</v>
      </c>
      <c r="D24" s="43">
        <f>43121.1+653.4</f>
        <v>43774.5</v>
      </c>
      <c r="E24" s="42">
        <v>298</v>
      </c>
      <c r="F24" s="966"/>
      <c r="G24" s="43"/>
      <c r="H24" s="392"/>
      <c r="I24" s="43"/>
      <c r="J24" s="892"/>
      <c r="K24" s="42"/>
    </row>
    <row r="25" spans="1:11" s="114" customFormat="1" ht="11.1" hidden="1" customHeight="1">
      <c r="A25" s="556" t="s">
        <v>1206</v>
      </c>
      <c r="B25" s="537">
        <v>3937.68</v>
      </c>
      <c r="C25" s="537">
        <v>10334.450000000001</v>
      </c>
      <c r="D25" s="537">
        <f>43549.2+653.4</f>
        <v>44202.6</v>
      </c>
      <c r="E25" s="534">
        <v>298</v>
      </c>
      <c r="F25" s="965"/>
      <c r="G25" s="531"/>
      <c r="H25" s="734"/>
      <c r="I25" s="43"/>
      <c r="J25" s="1369"/>
      <c r="K25" s="42"/>
    </row>
    <row r="26" spans="1:11" s="114" customFormat="1" ht="10.35" hidden="1" customHeight="1">
      <c r="A26" s="257" t="s">
        <v>1213</v>
      </c>
      <c r="B26" s="43">
        <v>3967.73</v>
      </c>
      <c r="C26" s="43">
        <v>4721.5280000000002</v>
      </c>
      <c r="D26" s="43">
        <f>43635.1+653.4</f>
        <v>44288.5</v>
      </c>
      <c r="E26" s="42">
        <v>298</v>
      </c>
      <c r="F26" s="1520"/>
      <c r="G26" s="483"/>
      <c r="H26" s="392"/>
      <c r="I26" s="43"/>
      <c r="J26" s="892"/>
      <c r="K26" s="42"/>
    </row>
    <row r="27" spans="1:11" s="114" customFormat="1" ht="10.35" hidden="1" customHeight="1">
      <c r="A27" s="556" t="s">
        <v>1214</v>
      </c>
      <c r="B27" s="537">
        <v>4230.7299999999996</v>
      </c>
      <c r="C27" s="537">
        <v>10918.56</v>
      </c>
      <c r="D27" s="537">
        <f>43862+653.4</f>
        <v>44515.4</v>
      </c>
      <c r="E27" s="534">
        <v>299</v>
      </c>
      <c r="F27" s="966"/>
      <c r="G27" s="1430"/>
      <c r="H27" s="1431"/>
      <c r="I27" s="43"/>
      <c r="J27" s="1369"/>
      <c r="K27" s="42"/>
    </row>
    <row r="28" spans="1:11" s="114" customFormat="1" ht="10.35" hidden="1" customHeight="1">
      <c r="A28" s="257" t="s">
        <v>1207</v>
      </c>
      <c r="B28" s="43">
        <v>4266.55</v>
      </c>
      <c r="C28" s="43">
        <v>9946.83</v>
      </c>
      <c r="D28" s="43">
        <f>44372.9+653.4</f>
        <v>45026.3</v>
      </c>
      <c r="E28" s="42">
        <v>300</v>
      </c>
      <c r="F28" s="966"/>
      <c r="G28" s="1438"/>
      <c r="H28" s="392"/>
      <c r="I28" s="43"/>
      <c r="J28" s="892"/>
      <c r="K28" s="42"/>
    </row>
    <row r="29" spans="1:11" s="114" customFormat="1" ht="10.35" hidden="1" customHeight="1">
      <c r="A29" s="556" t="s">
        <v>1215</v>
      </c>
      <c r="B29" s="537">
        <v>4753.17</v>
      </c>
      <c r="C29" s="537">
        <v>12526.3</v>
      </c>
      <c r="D29" s="537">
        <f>44528.5+653.4</f>
        <v>45181.9</v>
      </c>
      <c r="E29" s="534">
        <v>301</v>
      </c>
      <c r="F29" s="966"/>
      <c r="G29" s="1437"/>
      <c r="H29" s="734"/>
      <c r="I29" s="43"/>
      <c r="J29" s="1369"/>
      <c r="K29" s="42"/>
    </row>
    <row r="30" spans="1:11" s="114" customFormat="1" ht="10.35" hidden="1" customHeight="1">
      <c r="A30" s="257" t="s">
        <v>1216</v>
      </c>
      <c r="B30" s="43">
        <v>4749.87</v>
      </c>
      <c r="C30" s="43">
        <v>10961.63</v>
      </c>
      <c r="D30" s="43">
        <f>44594.7+653.4</f>
        <v>45248.1</v>
      </c>
      <c r="E30" s="42">
        <v>302</v>
      </c>
      <c r="F30" s="966"/>
      <c r="G30" s="1465"/>
      <c r="H30" s="392"/>
      <c r="I30" s="43"/>
      <c r="K30" s="42"/>
    </row>
    <row r="31" spans="1:11" s="114" customFormat="1" ht="10.35" hidden="1" customHeight="1">
      <c r="A31" s="556" t="s">
        <v>1208</v>
      </c>
      <c r="B31" s="537">
        <v>4491.9799999999996</v>
      </c>
      <c r="C31" s="537">
        <v>7301.86</v>
      </c>
      <c r="D31" s="537">
        <f>45004.6+626.7</f>
        <v>45631.299999999996</v>
      </c>
      <c r="E31" s="534">
        <v>303</v>
      </c>
      <c r="F31" s="966"/>
      <c r="G31" s="1465"/>
      <c r="H31" s="392"/>
      <c r="I31" s="43"/>
      <c r="K31" s="42"/>
    </row>
    <row r="32" spans="1:11" s="114" customFormat="1" ht="10.35" hidden="1" customHeight="1">
      <c r="A32" s="257" t="s">
        <v>1217</v>
      </c>
      <c r="B32" s="43">
        <v>4566.8599999999997</v>
      </c>
      <c r="C32" s="43">
        <v>9797.76</v>
      </c>
      <c r="D32" s="43">
        <f>45456.7+626.7</f>
        <v>46083.399999999994</v>
      </c>
      <c r="E32" s="42">
        <v>304</v>
      </c>
      <c r="F32" s="966"/>
      <c r="G32" s="1465"/>
      <c r="H32" s="392"/>
      <c r="I32" s="43"/>
      <c r="K32" s="42"/>
    </row>
    <row r="33" spans="1:11" s="114" customFormat="1" ht="10.35" hidden="1" customHeight="1">
      <c r="A33" s="556" t="s">
        <v>1218</v>
      </c>
      <c r="B33" s="537">
        <v>4430.4799999999996</v>
      </c>
      <c r="C33" s="537">
        <v>5845.77</v>
      </c>
      <c r="D33" s="537">
        <f>46523+626.7</f>
        <v>47149.7</v>
      </c>
      <c r="E33" s="534">
        <v>306</v>
      </c>
      <c r="F33" s="966"/>
      <c r="G33" s="1465"/>
      <c r="H33" s="392"/>
      <c r="I33" s="43"/>
      <c r="K33" s="42"/>
    </row>
    <row r="34" spans="1:11" s="114" customFormat="1" ht="10.35" hidden="1" customHeight="1">
      <c r="A34" s="743" t="s">
        <v>1209</v>
      </c>
      <c r="B34" s="483">
        <v>4480.5200000000004</v>
      </c>
      <c r="C34" s="483">
        <v>7734.97</v>
      </c>
      <c r="D34" s="483">
        <f>47628.8+626.7</f>
        <v>48255.5</v>
      </c>
      <c r="E34" s="482">
        <v>307</v>
      </c>
      <c r="F34" s="966"/>
      <c r="G34" s="1465"/>
      <c r="H34" s="392"/>
      <c r="I34" s="43"/>
      <c r="K34" s="42"/>
    </row>
    <row r="35" spans="1:11" s="114" customFormat="1" ht="10.35" customHeight="1">
      <c r="A35" s="1048" t="s">
        <v>2376</v>
      </c>
      <c r="B35" s="641">
        <f>B47</f>
        <v>4583.1099999999997</v>
      </c>
      <c r="C35" s="641">
        <f>SUM(C36:C47)</f>
        <v>112351.91100000001</v>
      </c>
      <c r="D35" s="641">
        <f>D47</f>
        <v>54300.800000000003</v>
      </c>
      <c r="E35" s="1029">
        <f>E47</f>
        <v>326</v>
      </c>
      <c r="F35" s="965">
        <v>42733</v>
      </c>
      <c r="G35" s="534">
        <v>5036.05</v>
      </c>
      <c r="H35" s="734">
        <v>1070.587</v>
      </c>
      <c r="I35" s="537">
        <v>59635.4</v>
      </c>
      <c r="J35" s="543"/>
      <c r="K35" s="534">
        <v>331</v>
      </c>
    </row>
    <row r="36" spans="1:11" s="114" customFormat="1" ht="10.5" customHeight="1">
      <c r="A36" s="743" t="s">
        <v>1211</v>
      </c>
      <c r="B36" s="483">
        <v>4427.16</v>
      </c>
      <c r="C36" s="483">
        <v>4115.68</v>
      </c>
      <c r="D36" s="483">
        <f>47898.1+626.7</f>
        <v>48524.799999999996</v>
      </c>
      <c r="E36" s="482">
        <v>309</v>
      </c>
      <c r="F36" s="966">
        <v>42736</v>
      </c>
      <c r="G36" s="37">
        <v>5083.8900000000003</v>
      </c>
      <c r="H36" s="392">
        <v>993.69899999999996</v>
      </c>
      <c r="I36" s="43">
        <v>59798.400000000001</v>
      </c>
      <c r="J36" s="11"/>
      <c r="K36" s="42">
        <v>331</v>
      </c>
    </row>
    <row r="37" spans="1:11" s="114" customFormat="1" ht="10.5" customHeight="1">
      <c r="A37" s="757" t="s">
        <v>1212</v>
      </c>
      <c r="B37" s="531">
        <v>4549.5200000000004</v>
      </c>
      <c r="C37" s="531">
        <v>12658.906000000001</v>
      </c>
      <c r="D37" s="531">
        <f>48189.2+626.7</f>
        <v>48815.899999999994</v>
      </c>
      <c r="E37" s="530">
        <v>311</v>
      </c>
      <c r="F37" s="965">
        <v>42737</v>
      </c>
      <c r="G37" s="534">
        <v>5119.59</v>
      </c>
      <c r="H37" s="734">
        <v>1448.153</v>
      </c>
      <c r="I37" s="537">
        <v>59798.400000000001</v>
      </c>
      <c r="J37" s="534"/>
      <c r="K37" s="534">
        <v>331</v>
      </c>
    </row>
    <row r="38" spans="1:11" s="114" customFormat="1" ht="10.5" customHeight="1">
      <c r="A38" s="743" t="s">
        <v>1206</v>
      </c>
      <c r="B38" s="483">
        <v>5074.3100000000004</v>
      </c>
      <c r="C38" s="483">
        <v>17580.939999999999</v>
      </c>
      <c r="D38" s="483">
        <f>48623.8+626.7</f>
        <v>49250.5</v>
      </c>
      <c r="E38" s="482">
        <v>315</v>
      </c>
      <c r="F38" s="966">
        <v>42738</v>
      </c>
      <c r="G38" s="37">
        <v>5137.74</v>
      </c>
      <c r="H38" s="392">
        <v>1391.096</v>
      </c>
      <c r="I38" s="43">
        <v>59798.400000000001</v>
      </c>
      <c r="J38" s="37"/>
      <c r="K38" s="42">
        <v>331</v>
      </c>
    </row>
    <row r="39" spans="1:11" s="114" customFormat="1" ht="10.5" customHeight="1">
      <c r="A39" s="757" t="s">
        <v>1213</v>
      </c>
      <c r="B39" s="531">
        <v>5173.2299999999996</v>
      </c>
      <c r="C39" s="531">
        <v>12765.61</v>
      </c>
      <c r="D39" s="531">
        <f>48873.5+626.7</f>
        <v>49500.2</v>
      </c>
      <c r="E39" s="530">
        <v>315</v>
      </c>
      <c r="F39" s="965">
        <v>42739</v>
      </c>
      <c r="G39" s="1559">
        <v>5156.6000000000004</v>
      </c>
      <c r="H39" s="1559">
        <v>1209.115</v>
      </c>
      <c r="I39" s="537">
        <v>59798.400000000001</v>
      </c>
      <c r="J39" s="543"/>
      <c r="K39" s="534">
        <v>331</v>
      </c>
    </row>
    <row r="40" spans="1:11" s="114" customFormat="1" ht="10.5" customHeight="1">
      <c r="A40" s="743" t="s">
        <v>1214</v>
      </c>
      <c r="B40" s="483">
        <v>4769.43</v>
      </c>
      <c r="C40" s="483">
        <v>11549.428</v>
      </c>
      <c r="D40" s="483">
        <f>49117.7+626.7</f>
        <v>49744.399999999994</v>
      </c>
      <c r="E40" s="482">
        <v>317</v>
      </c>
      <c r="F40" s="966">
        <v>42740</v>
      </c>
      <c r="G40" s="638">
        <v>5182.25</v>
      </c>
      <c r="H40" s="638">
        <v>1245.4939999999999</v>
      </c>
      <c r="I40" s="43">
        <v>59798.400000000001</v>
      </c>
      <c r="J40" s="11"/>
      <c r="K40" s="42">
        <v>331</v>
      </c>
    </row>
    <row r="41" spans="1:11" s="114" customFormat="1" ht="10.5" customHeight="1">
      <c r="A41" s="757" t="s">
        <v>1207</v>
      </c>
      <c r="B41" s="531">
        <v>4864.96</v>
      </c>
      <c r="C41" s="531">
        <v>6013.26</v>
      </c>
      <c r="D41" s="531">
        <f>49913.8+626.7</f>
        <v>50540.5</v>
      </c>
      <c r="E41" s="530">
        <v>317</v>
      </c>
      <c r="F41" s="965">
        <v>42743</v>
      </c>
      <c r="G41" s="1559">
        <v>5158.7</v>
      </c>
      <c r="H41" s="1559">
        <v>1075.1279999999999</v>
      </c>
      <c r="I41" s="537">
        <v>59798.400000000001</v>
      </c>
      <c r="J41" s="543"/>
      <c r="K41" s="534">
        <v>331</v>
      </c>
    </row>
    <row r="42" spans="1:11" s="114" customFormat="1" ht="11.25" customHeight="1">
      <c r="A42" s="743" t="s">
        <v>1215</v>
      </c>
      <c r="B42" s="483">
        <v>4724.05</v>
      </c>
      <c r="C42" s="483">
        <v>5569.848</v>
      </c>
      <c r="D42" s="483">
        <f>50198.8+626.7</f>
        <v>50825.5</v>
      </c>
      <c r="E42" s="482">
        <v>319</v>
      </c>
      <c r="F42" s="966">
        <v>42744</v>
      </c>
      <c r="G42" s="638">
        <v>5214.6000000000004</v>
      </c>
      <c r="H42" s="638">
        <v>1246.7909999999999</v>
      </c>
      <c r="I42" s="43">
        <v>59798.400000000001</v>
      </c>
      <c r="J42" s="11"/>
      <c r="K42" s="42">
        <v>331</v>
      </c>
    </row>
    <row r="43" spans="1:11" s="114" customFormat="1" ht="12" customHeight="1">
      <c r="A43" s="757" t="s">
        <v>1216</v>
      </c>
      <c r="B43" s="531">
        <v>4763.22</v>
      </c>
      <c r="C43" s="531">
        <v>5360.3130000000001</v>
      </c>
      <c r="D43" s="531">
        <f>50789.7+626.7</f>
        <v>51416.399999999994</v>
      </c>
      <c r="E43" s="530">
        <v>320</v>
      </c>
      <c r="F43" s="965">
        <v>42745</v>
      </c>
      <c r="G43" s="1559">
        <v>5277.39</v>
      </c>
      <c r="H43" s="1559">
        <v>1696.943</v>
      </c>
      <c r="I43" s="537">
        <v>59798.400000000001</v>
      </c>
      <c r="J43" s="543"/>
      <c r="K43" s="534">
        <v>331</v>
      </c>
    </row>
    <row r="44" spans="1:11" s="114" customFormat="1" ht="12" customHeight="1">
      <c r="A44" s="743" t="s">
        <v>1208</v>
      </c>
      <c r="B44" s="483">
        <v>4530.4799999999996</v>
      </c>
      <c r="C44" s="483">
        <v>6139.2470000000003</v>
      </c>
      <c r="D44" s="483">
        <f>51485.9+600</f>
        <v>52085.9</v>
      </c>
      <c r="E44" s="482">
        <v>322</v>
      </c>
      <c r="F44" s="966">
        <v>42746</v>
      </c>
      <c r="G44" s="638">
        <v>5333.88</v>
      </c>
      <c r="H44" s="638">
        <v>1704.559</v>
      </c>
      <c r="I44" s="43">
        <v>59798.400000000001</v>
      </c>
      <c r="J44" s="11"/>
      <c r="K44" s="42">
        <v>331</v>
      </c>
    </row>
    <row r="45" spans="1:11" s="114" customFormat="1" ht="12" customHeight="1">
      <c r="A45" s="757" t="s">
        <v>1217</v>
      </c>
      <c r="B45" s="531">
        <v>4047.29</v>
      </c>
      <c r="C45" s="531">
        <v>7756.1189999999997</v>
      </c>
      <c r="D45" s="531">
        <f>52128.8+600</f>
        <v>52728.800000000003</v>
      </c>
      <c r="E45" s="530">
        <v>324</v>
      </c>
      <c r="F45" s="965">
        <v>42747</v>
      </c>
      <c r="G45" s="1559">
        <v>5342.88</v>
      </c>
      <c r="H45" s="1559">
        <v>1416.837</v>
      </c>
      <c r="I45" s="537">
        <v>59798.400000000001</v>
      </c>
      <c r="J45" s="543"/>
      <c r="K45" s="534">
        <v>331</v>
      </c>
    </row>
    <row r="46" spans="1:11" s="114" customFormat="1" ht="12" customHeight="1">
      <c r="A46" s="1224" t="s">
        <v>1218</v>
      </c>
      <c r="B46" s="1223">
        <v>4586.95</v>
      </c>
      <c r="C46" s="1223">
        <v>12781.55</v>
      </c>
      <c r="D46" s="1223">
        <v>53314.2</v>
      </c>
      <c r="E46" s="1075">
        <v>324</v>
      </c>
      <c r="F46" s="966">
        <v>42750</v>
      </c>
      <c r="G46" s="638">
        <v>5422.8</v>
      </c>
      <c r="H46" s="638">
        <v>1659.0809999999999</v>
      </c>
      <c r="I46" s="43">
        <v>59798.400000000001</v>
      </c>
      <c r="J46" s="11"/>
      <c r="K46" s="42">
        <v>331</v>
      </c>
    </row>
    <row r="47" spans="1:11" s="114" customFormat="1" ht="11.25" customHeight="1">
      <c r="A47" s="757" t="s">
        <v>1209</v>
      </c>
      <c r="B47" s="531">
        <v>4583.1099999999997</v>
      </c>
      <c r="C47" s="531">
        <v>10061.01</v>
      </c>
      <c r="D47" s="531">
        <v>54300.800000000003</v>
      </c>
      <c r="E47" s="530">
        <v>326</v>
      </c>
      <c r="F47" s="965">
        <v>42751</v>
      </c>
      <c r="G47" s="1559">
        <v>5477.86</v>
      </c>
      <c r="H47" s="1559">
        <v>1856.521</v>
      </c>
      <c r="I47" s="537">
        <v>59798.400000000001</v>
      </c>
      <c r="J47" s="543"/>
      <c r="K47" s="534">
        <v>331</v>
      </c>
    </row>
    <row r="48" spans="1:11" s="114" customFormat="1" ht="10.35" customHeight="1">
      <c r="A48" s="933" t="s">
        <v>2608</v>
      </c>
      <c r="B48" s="659">
        <f>B60</f>
        <v>4507.58</v>
      </c>
      <c r="C48" s="659">
        <f>SUM(C49:C60)</f>
        <v>107246.07099999998</v>
      </c>
      <c r="D48" s="659">
        <f>D60</f>
        <v>57846.400000000001</v>
      </c>
      <c r="E48" s="918">
        <f>E60</f>
        <v>330</v>
      </c>
      <c r="F48" s="966">
        <v>42752</v>
      </c>
      <c r="G48" s="638">
        <v>5575.47</v>
      </c>
      <c r="H48" s="638">
        <v>2064.9659999999999</v>
      </c>
      <c r="I48" s="43">
        <v>59798.400000000001</v>
      </c>
      <c r="J48" s="11"/>
      <c r="K48" s="42">
        <v>331</v>
      </c>
    </row>
    <row r="49" spans="1:11" s="114" customFormat="1" ht="11.25" customHeight="1">
      <c r="A49" s="757" t="s">
        <v>1211</v>
      </c>
      <c r="B49" s="531">
        <v>4792.3100000000004</v>
      </c>
      <c r="C49" s="531">
        <v>9827.27</v>
      </c>
      <c r="D49" s="531">
        <v>54343.77</v>
      </c>
      <c r="E49" s="530">
        <v>326</v>
      </c>
      <c r="F49" s="965">
        <v>42753</v>
      </c>
      <c r="G49" s="1559">
        <v>5533.5</v>
      </c>
      <c r="H49" s="1559">
        <v>1989.325</v>
      </c>
      <c r="I49" s="537">
        <v>59798.400000000001</v>
      </c>
      <c r="J49" s="543"/>
      <c r="K49" s="534">
        <v>331</v>
      </c>
    </row>
    <row r="50" spans="1:11" s="114" customFormat="1" ht="11.25" customHeight="1">
      <c r="A50" s="743" t="s">
        <v>1212</v>
      </c>
      <c r="B50" s="483">
        <v>4768.67</v>
      </c>
      <c r="C50" s="483">
        <v>12935.4</v>
      </c>
      <c r="D50" s="483">
        <v>54401.4</v>
      </c>
      <c r="E50" s="482">
        <v>326</v>
      </c>
      <c r="F50" s="966">
        <v>42754</v>
      </c>
      <c r="G50" s="638">
        <v>5534.07</v>
      </c>
      <c r="H50" s="638">
        <v>1408.7429999999999</v>
      </c>
      <c r="I50" s="43">
        <v>59798.400000000001</v>
      </c>
      <c r="J50" s="11"/>
      <c r="K50" s="42">
        <v>331</v>
      </c>
    </row>
    <row r="51" spans="1:11" s="114" customFormat="1" ht="10.5" customHeight="1">
      <c r="A51" s="757" t="s">
        <v>1206</v>
      </c>
      <c r="B51" s="531">
        <v>4852.08</v>
      </c>
      <c r="C51" s="531">
        <v>8370.2099999999991</v>
      </c>
      <c r="D51" s="531">
        <v>54785.599999999999</v>
      </c>
      <c r="E51" s="530">
        <v>327</v>
      </c>
      <c r="F51" s="965">
        <v>42757</v>
      </c>
      <c r="G51" s="1559">
        <v>5602.85</v>
      </c>
      <c r="H51" s="1559">
        <v>1668.385</v>
      </c>
      <c r="I51" s="537">
        <v>59798.400000000001</v>
      </c>
      <c r="J51" s="543"/>
      <c r="K51" s="534">
        <v>331</v>
      </c>
    </row>
    <row r="52" spans="1:11" s="114" customFormat="1" ht="10.5" customHeight="1">
      <c r="A52" s="743" t="s">
        <v>1213</v>
      </c>
      <c r="B52" s="483">
        <v>4564.49</v>
      </c>
      <c r="C52" s="483">
        <v>7335.71</v>
      </c>
      <c r="D52" s="483">
        <v>55070.400000000001</v>
      </c>
      <c r="E52" s="482">
        <v>328</v>
      </c>
      <c r="F52" s="966">
        <v>42758</v>
      </c>
      <c r="G52" s="638">
        <v>5669.8</v>
      </c>
      <c r="H52" s="638">
        <v>2180.7939999999999</v>
      </c>
      <c r="I52" s="43">
        <v>59798.400000000001</v>
      </c>
      <c r="J52" s="11"/>
      <c r="K52" s="42">
        <v>331</v>
      </c>
    </row>
    <row r="53" spans="1:11" s="114" customFormat="1" ht="12.75" customHeight="1">
      <c r="A53" s="757" t="s">
        <v>1214</v>
      </c>
      <c r="B53" s="531">
        <v>4581</v>
      </c>
      <c r="C53" s="531">
        <v>7841.99</v>
      </c>
      <c r="D53" s="531">
        <v>55225.1</v>
      </c>
      <c r="E53" s="530">
        <v>329</v>
      </c>
      <c r="F53" s="965">
        <v>42759</v>
      </c>
      <c r="G53" s="1559">
        <v>5708.25</v>
      </c>
      <c r="H53" s="1559">
        <v>2013.4490000000001</v>
      </c>
      <c r="I53" s="537">
        <v>59798.400000000001</v>
      </c>
      <c r="J53" s="543"/>
      <c r="K53" s="534">
        <v>331</v>
      </c>
    </row>
    <row r="54" spans="1:11" s="114" customFormat="1" ht="10.5" customHeight="1">
      <c r="A54" s="743" t="s">
        <v>1207</v>
      </c>
      <c r="B54" s="483">
        <v>4629.6400000000003</v>
      </c>
      <c r="C54" s="483">
        <v>9161.19</v>
      </c>
      <c r="D54" s="483">
        <f>55113.5+600</f>
        <v>55713.5</v>
      </c>
      <c r="E54" s="482">
        <f>328+2</f>
        <v>330</v>
      </c>
      <c r="F54" s="966">
        <v>42760</v>
      </c>
      <c r="G54" s="638">
        <v>5621.28</v>
      </c>
      <c r="H54" s="638">
        <v>1524.9359999999999</v>
      </c>
      <c r="I54" s="21">
        <v>59798.400000000001</v>
      </c>
      <c r="J54" s="11"/>
      <c r="K54" s="37">
        <v>331</v>
      </c>
    </row>
    <row r="55" spans="1:11" s="114" customFormat="1" ht="12" customHeight="1">
      <c r="A55" s="757" t="s">
        <v>1215</v>
      </c>
      <c r="B55" s="531">
        <v>4540.8900000000003</v>
      </c>
      <c r="C55" s="531">
        <v>11349.63</v>
      </c>
      <c r="D55" s="531">
        <f>55371+595.1</f>
        <v>55966.1</v>
      </c>
      <c r="E55" s="530">
        <f>331+2</f>
        <v>333</v>
      </c>
      <c r="F55" s="965">
        <v>42761</v>
      </c>
      <c r="G55" s="1559">
        <v>5618.65</v>
      </c>
      <c r="H55" s="1559">
        <v>1269.6089999999999</v>
      </c>
      <c r="I55" s="537">
        <v>59798.400000000001</v>
      </c>
      <c r="J55" s="543"/>
      <c r="K55" s="534">
        <v>331</v>
      </c>
    </row>
    <row r="56" spans="1:11" s="114" customFormat="1" ht="11.25" customHeight="1">
      <c r="A56" s="743" t="s">
        <v>1216</v>
      </c>
      <c r="B56" s="482">
        <v>4511.97</v>
      </c>
      <c r="C56" s="482">
        <v>8642.15</v>
      </c>
      <c r="D56" s="483">
        <f>55493+595.1</f>
        <v>56088.1</v>
      </c>
      <c r="E56" s="482">
        <v>333</v>
      </c>
      <c r="F56" s="966">
        <v>42764</v>
      </c>
      <c r="G56" s="638">
        <v>5500.86</v>
      </c>
      <c r="H56" s="638">
        <v>1137.154</v>
      </c>
      <c r="I56" s="21">
        <v>59798.400000000001</v>
      </c>
      <c r="J56" s="11"/>
      <c r="K56" s="37">
        <v>331</v>
      </c>
    </row>
    <row r="57" spans="1:11" s="114" customFormat="1" ht="11.25" customHeight="1">
      <c r="A57" s="757" t="s">
        <v>1208</v>
      </c>
      <c r="B57" s="530">
        <v>4357.54</v>
      </c>
      <c r="C57" s="531">
        <v>7997.2669999999998</v>
      </c>
      <c r="D57" s="531">
        <f>55673.9+595.1</f>
        <v>56269</v>
      </c>
      <c r="E57" s="530">
        <f>329+2</f>
        <v>331</v>
      </c>
      <c r="F57" s="965">
        <v>42765</v>
      </c>
      <c r="G57" s="1559">
        <v>5421.21</v>
      </c>
      <c r="H57" s="1559">
        <v>1074.5160000000001</v>
      </c>
      <c r="I57" s="537">
        <v>59798.400000000001</v>
      </c>
      <c r="J57" s="543"/>
      <c r="K57" s="534">
        <v>331</v>
      </c>
    </row>
    <row r="58" spans="1:11" s="114" customFormat="1" ht="13.5" thickBot="1">
      <c r="A58" s="743" t="s">
        <v>1217</v>
      </c>
      <c r="B58" s="483">
        <v>4195.7</v>
      </c>
      <c r="C58" s="483">
        <v>7504.7439999999997</v>
      </c>
      <c r="D58" s="483">
        <f>56067.75+595.1</f>
        <v>56662.85</v>
      </c>
      <c r="E58" s="482">
        <f>327+2</f>
        <v>329</v>
      </c>
      <c r="F58" s="1520">
        <v>42766</v>
      </c>
      <c r="G58" s="1618">
        <v>5468.34</v>
      </c>
      <c r="H58" s="1618">
        <v>956.72199999999998</v>
      </c>
      <c r="I58" s="1615">
        <v>59798.400000000001</v>
      </c>
      <c r="J58" s="1616"/>
      <c r="K58" s="1617">
        <v>331</v>
      </c>
    </row>
    <row r="59" spans="1:11" s="114" customFormat="1" ht="10.5" customHeight="1">
      <c r="A59" s="757" t="s">
        <v>1218</v>
      </c>
      <c r="B59" s="531">
        <v>4195.7</v>
      </c>
      <c r="C59" s="531">
        <v>8142.2150000000001</v>
      </c>
      <c r="D59" s="531">
        <f>56626.314+595.1</f>
        <v>57221.413999999997</v>
      </c>
      <c r="E59" s="530">
        <f>327+2</f>
        <v>329</v>
      </c>
      <c r="F59" s="892"/>
      <c r="G59" s="392"/>
      <c r="H59" s="392"/>
    </row>
    <row r="60" spans="1:11" s="114" customFormat="1" ht="11.25" customHeight="1">
      <c r="A60" s="743" t="s">
        <v>1209</v>
      </c>
      <c r="B60" s="483">
        <v>4507.58</v>
      </c>
      <c r="C60" s="483">
        <v>8138.2950000000001</v>
      </c>
      <c r="D60" s="483">
        <f>57251.3+595.1</f>
        <v>57846.400000000001</v>
      </c>
      <c r="E60" s="482">
        <f>328+2</f>
        <v>330</v>
      </c>
      <c r="G60" s="392"/>
      <c r="H60" s="392"/>
    </row>
    <row r="61" spans="1:11" s="114" customFormat="1" ht="9.75" customHeight="1">
      <c r="A61" s="1048" t="s">
        <v>2809</v>
      </c>
      <c r="B61" s="531"/>
      <c r="C61" s="531"/>
      <c r="D61" s="531"/>
      <c r="E61" s="530"/>
      <c r="G61" s="392"/>
      <c r="H61" s="392"/>
    </row>
    <row r="62" spans="1:11" s="114" customFormat="1" ht="11.25" customHeight="1">
      <c r="A62" s="743" t="s">
        <v>1211</v>
      </c>
      <c r="B62" s="483">
        <v>4525.3500000000004</v>
      </c>
      <c r="C62" s="483">
        <v>6573.6170000000002</v>
      </c>
      <c r="D62" s="483">
        <f>57510.714+595.1</f>
        <v>58105.813999999998</v>
      </c>
      <c r="E62" s="482">
        <f>328+2</f>
        <v>330</v>
      </c>
      <c r="G62" s="392"/>
      <c r="H62" s="392"/>
    </row>
    <row r="63" spans="1:11" s="114" customFormat="1" ht="11.25" customHeight="1">
      <c r="A63" s="757" t="s">
        <v>1212</v>
      </c>
      <c r="B63" s="531">
        <v>4526.58</v>
      </c>
      <c r="C63" s="531">
        <v>9629.2900000000009</v>
      </c>
      <c r="D63" s="531">
        <f>57549.5+595.1</f>
        <v>58144.6</v>
      </c>
      <c r="E63" s="530">
        <f>327+2</f>
        <v>329</v>
      </c>
      <c r="G63" s="392"/>
      <c r="H63" s="392"/>
    </row>
    <row r="64" spans="1:11" s="114" customFormat="1" ht="11.25" customHeight="1">
      <c r="A64" s="743" t="s">
        <v>1206</v>
      </c>
      <c r="B64" s="483">
        <v>4695.1899999999996</v>
      </c>
      <c r="C64" s="483">
        <v>8689.3819999999996</v>
      </c>
      <c r="D64" s="483">
        <f>57649.1+595.1</f>
        <v>58244.2</v>
      </c>
      <c r="E64" s="482">
        <f>328+2</f>
        <v>330</v>
      </c>
      <c r="G64" s="392"/>
      <c r="H64" s="392"/>
    </row>
    <row r="65" spans="1:8" s="114" customFormat="1" ht="11.25" customHeight="1">
      <c r="A65" s="757" t="s">
        <v>1213</v>
      </c>
      <c r="B65" s="531">
        <v>4592.18</v>
      </c>
      <c r="C65" s="531">
        <v>10560.499</v>
      </c>
      <c r="D65" s="531">
        <f>57959.3+595.1</f>
        <v>58554.400000000001</v>
      </c>
      <c r="E65" s="530">
        <f>328+2</f>
        <v>330</v>
      </c>
      <c r="G65" s="392"/>
      <c r="H65" s="392"/>
    </row>
    <row r="66" spans="1:8" s="114" customFormat="1" ht="11.25" customHeight="1">
      <c r="A66" s="743" t="s">
        <v>1214</v>
      </c>
      <c r="B66" s="483">
        <v>4801.24</v>
      </c>
      <c r="C66" s="483">
        <v>14149.828</v>
      </c>
      <c r="D66" s="483">
        <f>58410.7+595.1</f>
        <v>59005.799999999996</v>
      </c>
      <c r="E66" s="482">
        <f>328+2</f>
        <v>330</v>
      </c>
      <c r="G66" s="392"/>
      <c r="H66" s="392"/>
    </row>
    <row r="67" spans="1:8" s="114" customFormat="1" ht="11.25" customHeight="1">
      <c r="A67" s="757" t="s">
        <v>1207</v>
      </c>
      <c r="B67" s="531">
        <v>5036.05</v>
      </c>
      <c r="C67" s="531">
        <v>17780.206999999999</v>
      </c>
      <c r="D67" s="531">
        <f>59040.3+595.1</f>
        <v>59635.4</v>
      </c>
      <c r="E67" s="530">
        <f>329+2</f>
        <v>331</v>
      </c>
      <c r="G67" s="392"/>
      <c r="H67" s="392"/>
    </row>
    <row r="68" spans="1:8" s="114" customFormat="1" ht="11.25" customHeight="1" thickBot="1">
      <c r="A68" s="1599" t="s">
        <v>1215</v>
      </c>
      <c r="B68" s="962">
        <v>5468.34</v>
      </c>
      <c r="C68" s="962">
        <v>34232.014999999999</v>
      </c>
      <c r="D68" s="962">
        <f>59213.4+585</f>
        <v>59798.400000000001</v>
      </c>
      <c r="E68" s="848">
        <f>329+2</f>
        <v>331</v>
      </c>
      <c r="G68" s="392"/>
      <c r="H68" s="392"/>
    </row>
    <row r="69" spans="1:8" s="114" customFormat="1" ht="10.5" customHeight="1">
      <c r="A69" s="168" t="s">
        <v>806</v>
      </c>
      <c r="B69" s="41"/>
      <c r="C69" s="41"/>
      <c r="D69" s="41"/>
      <c r="E69" s="41"/>
      <c r="G69" s="392"/>
      <c r="H69" s="392"/>
    </row>
    <row r="70" spans="1:8" s="114" customFormat="1" ht="9" customHeight="1">
      <c r="A70" s="257" t="s">
        <v>2241</v>
      </c>
      <c r="B70" s="41"/>
      <c r="C70" s="41"/>
      <c r="D70" s="41"/>
      <c r="E70" s="41"/>
      <c r="G70" s="392"/>
      <c r="H70" s="392"/>
    </row>
    <row r="71" spans="1:8" s="114" customFormat="1" ht="10.5" customHeight="1">
      <c r="A71" s="168" t="s">
        <v>807</v>
      </c>
      <c r="B71" s="41"/>
      <c r="C71" s="43"/>
      <c r="D71" s="411"/>
      <c r="E71" s="411"/>
      <c r="G71" s="392"/>
      <c r="H71" s="392"/>
    </row>
    <row r="72" spans="1:8" s="114" customFormat="1" ht="8.85" customHeight="1">
      <c r="G72" s="392"/>
      <c r="H72" s="392"/>
    </row>
    <row r="73" spans="1:8" s="114" customFormat="1" ht="8.85" customHeight="1">
      <c r="G73" s="392"/>
      <c r="H73" s="392"/>
    </row>
    <row r="74" spans="1:8" s="114" customFormat="1" ht="13.5" customHeight="1">
      <c r="G74" s="392"/>
      <c r="H74" s="392"/>
    </row>
    <row r="75" spans="1:8" s="114" customFormat="1" ht="8.85" customHeight="1">
      <c r="G75" s="392"/>
      <c r="H75" s="392"/>
    </row>
    <row r="76" spans="1:8" s="114" customFormat="1" ht="8.85" customHeight="1">
      <c r="G76" s="392"/>
      <c r="H76" s="392"/>
    </row>
    <row r="77" spans="1:8" s="114" customFormat="1" ht="8.85" customHeight="1">
      <c r="G77" s="392"/>
      <c r="H77" s="392"/>
    </row>
    <row r="78" spans="1:8" s="114" customFormat="1" ht="8.85" customHeight="1">
      <c r="G78" s="392"/>
      <c r="H78" s="392"/>
    </row>
    <row r="79" spans="1:8" s="114" customFormat="1" ht="8.85" customHeight="1">
      <c r="G79" s="392"/>
      <c r="H79" s="392"/>
    </row>
    <row r="80" spans="1:8" s="114" customFormat="1" ht="8.85" customHeight="1">
      <c r="G80" s="392"/>
      <c r="H80" s="392"/>
    </row>
    <row r="81" spans="2:8" s="114" customFormat="1" ht="9.9499999999999993" customHeight="1">
      <c r="G81" s="392"/>
      <c r="H81" s="392"/>
    </row>
    <row r="82" spans="2:8" s="114" customFormat="1" ht="9.9499999999999993" customHeight="1">
      <c r="G82" s="392"/>
      <c r="H82" s="392"/>
    </row>
    <row r="83" spans="2:8" s="114" customFormat="1" ht="9.9499999999999993" customHeight="1">
      <c r="G83" s="392"/>
      <c r="H83" s="392"/>
    </row>
    <row r="84" spans="2:8" s="114" customFormat="1" ht="11.1" customHeight="1">
      <c r="H84" s="392"/>
    </row>
    <row r="85" spans="2:8" s="114" customFormat="1" ht="11.1" customHeight="1">
      <c r="H85" s="888"/>
    </row>
    <row r="86" spans="2:8" s="114" customFormat="1" ht="11.1" customHeight="1">
      <c r="H86" s="888"/>
    </row>
    <row r="87" spans="2:8" s="114" customFormat="1" ht="11.1" customHeight="1">
      <c r="H87" s="888"/>
    </row>
    <row r="88" spans="2:8" s="114" customFormat="1" ht="11.1" customHeight="1">
      <c r="H88" s="888"/>
    </row>
    <row r="89" spans="2:8" s="114" customFormat="1" ht="11.1" customHeight="1">
      <c r="H89" s="888"/>
    </row>
    <row r="90" spans="2:8" s="114" customFormat="1" ht="11.1" customHeight="1"/>
    <row r="91" spans="2:8" s="114" customFormat="1" ht="11.1" customHeight="1"/>
    <row r="92" spans="2:8" s="114" customFormat="1" ht="11.1" customHeight="1"/>
    <row r="93" spans="2:8" s="114" customFormat="1" ht="11.1" customHeight="1"/>
    <row r="94" spans="2:8" s="892" customFormat="1" ht="11.1" customHeight="1"/>
    <row r="95" spans="2:8" ht="11.1" customHeight="1">
      <c r="B95" s="2"/>
      <c r="C95" s="2"/>
      <c r="D95" s="2"/>
      <c r="E95" s="2"/>
    </row>
    <row r="96" spans="2:8" ht="11.1" customHeight="1">
      <c r="B96" s="2"/>
      <c r="C96" s="2"/>
      <c r="D96" s="2"/>
      <c r="E96" s="2"/>
    </row>
    <row r="97" spans="1:5">
      <c r="A97" s="160"/>
      <c r="B97" s="161"/>
      <c r="C97" s="161"/>
      <c r="D97" s="167"/>
      <c r="E97" s="82"/>
    </row>
    <row r="98" spans="1:5">
      <c r="A98" s="165"/>
      <c r="B98" s="166"/>
      <c r="C98" s="166"/>
      <c r="D98" s="167"/>
      <c r="E98" s="131"/>
    </row>
    <row r="99" spans="1:5">
      <c r="A99" s="165"/>
      <c r="B99" s="166"/>
      <c r="C99" s="166"/>
      <c r="D99" s="167"/>
      <c r="E99" s="131"/>
    </row>
    <row r="100" spans="1:5">
      <c r="A100" s="165"/>
      <c r="B100" s="166"/>
      <c r="C100" s="166"/>
      <c r="D100" s="167"/>
      <c r="E100" s="131"/>
    </row>
    <row r="101" spans="1:5">
      <c r="A101" s="165"/>
      <c r="B101" s="166"/>
      <c r="C101" s="166"/>
      <c r="D101" s="167"/>
      <c r="E101" s="131"/>
    </row>
    <row r="102" spans="1:5">
      <c r="A102" s="165"/>
      <c r="B102" s="166"/>
      <c r="C102" s="166"/>
      <c r="D102" s="167"/>
      <c r="E102" s="131"/>
    </row>
    <row r="103" spans="1:5">
      <c r="A103" s="165"/>
      <c r="B103" s="166"/>
      <c r="C103" s="166"/>
      <c r="D103" s="167"/>
      <c r="E103" s="131"/>
    </row>
    <row r="104" spans="1:5">
      <c r="A104" s="165"/>
      <c r="B104" s="166"/>
      <c r="C104" s="166"/>
      <c r="D104" s="167"/>
      <c r="E104" s="131"/>
    </row>
    <row r="105" spans="1:5">
      <c r="A105" s="165"/>
      <c r="B105" s="166"/>
      <c r="C105" s="166"/>
      <c r="D105" s="167"/>
      <c r="E105" s="131"/>
    </row>
    <row r="106" spans="1:5">
      <c r="A106" s="165"/>
      <c r="B106" s="166"/>
      <c r="C106" s="166"/>
      <c r="D106" s="167"/>
      <c r="E106" s="131"/>
    </row>
    <row r="107" spans="1:5">
      <c r="A107" s="165"/>
      <c r="B107" s="166"/>
      <c r="C107" s="166"/>
      <c r="D107" s="167"/>
      <c r="E107" s="131"/>
    </row>
    <row r="108" spans="1:5">
      <c r="A108" s="165"/>
      <c r="B108" s="166"/>
      <c r="C108" s="166"/>
      <c r="D108" s="167"/>
      <c r="E108" s="131"/>
    </row>
    <row r="113" spans="1:5">
      <c r="A113" s="165"/>
      <c r="B113" s="161"/>
      <c r="C113" s="166"/>
      <c r="D113" s="167"/>
      <c r="E113" s="131"/>
    </row>
    <row r="114" spans="1:5">
      <c r="A114" s="165"/>
      <c r="B114" s="161"/>
      <c r="C114" s="166"/>
      <c r="D114" s="167"/>
      <c r="E114" s="131"/>
    </row>
    <row r="115" spans="1:5">
      <c r="A115" s="165"/>
      <c r="B115" s="166"/>
      <c r="C115" s="161"/>
      <c r="D115" s="167"/>
      <c r="E115" s="131"/>
    </row>
    <row r="116" spans="1:5">
      <c r="A116" s="165"/>
      <c r="B116" s="166"/>
      <c r="C116" s="166"/>
      <c r="D116" s="167"/>
      <c r="E116" s="131"/>
    </row>
    <row r="117" spans="1:5">
      <c r="A117" s="165"/>
      <c r="B117" s="161"/>
      <c r="C117" s="166"/>
      <c r="D117" s="167"/>
      <c r="E117" s="131"/>
    </row>
    <row r="118" spans="1:5">
      <c r="A118" s="165"/>
      <c r="B118" s="131"/>
      <c r="C118" s="166"/>
      <c r="D118" s="167"/>
      <c r="E118" s="131"/>
    </row>
    <row r="119" spans="1:5">
      <c r="A119" s="165"/>
      <c r="B119" s="82"/>
      <c r="C119" s="161"/>
      <c r="D119" s="167"/>
      <c r="E119" s="131"/>
    </row>
    <row r="121" spans="1:5">
      <c r="A121" s="165"/>
      <c r="B121" s="167"/>
      <c r="C121" s="167"/>
      <c r="D121" s="167"/>
      <c r="E121" s="131"/>
    </row>
    <row r="122" spans="1:5">
      <c r="A122" s="165"/>
      <c r="B122" s="167"/>
      <c r="C122" s="167"/>
      <c r="D122" s="167"/>
      <c r="E122" s="131"/>
    </row>
    <row r="124" spans="1:5">
      <c r="A124" s="165"/>
      <c r="B124" s="2"/>
      <c r="C124" s="2"/>
      <c r="D124" s="167"/>
      <c r="E124" s="131"/>
    </row>
    <row r="125" spans="1:5">
      <c r="A125" s="165"/>
      <c r="B125" s="131"/>
      <c r="C125" s="131"/>
      <c r="D125" s="167"/>
      <c r="E125" s="131"/>
    </row>
    <row r="127" spans="1:5">
      <c r="A127" s="165"/>
      <c r="B127" s="131"/>
      <c r="C127" s="131"/>
      <c r="D127" s="167"/>
      <c r="E127" s="131"/>
    </row>
    <row r="128" spans="1:5">
      <c r="A128" s="165"/>
      <c r="B128" s="131"/>
      <c r="C128" s="131"/>
      <c r="D128" s="167"/>
      <c r="E128" s="131"/>
    </row>
    <row r="130" spans="1:5">
      <c r="A130" s="165"/>
      <c r="B130" s="131"/>
      <c r="C130" s="166"/>
      <c r="D130" s="167"/>
      <c r="E130" s="131"/>
    </row>
    <row r="131" spans="1:5">
      <c r="A131" s="165"/>
      <c r="B131" s="161"/>
      <c r="C131" s="82"/>
      <c r="D131" s="167"/>
      <c r="E131" s="131"/>
    </row>
    <row r="132" spans="1:5">
      <c r="A132" s="10"/>
      <c r="B132" s="41"/>
      <c r="C132" s="41"/>
      <c r="D132" s="41"/>
      <c r="E132" s="41"/>
    </row>
    <row r="133" spans="1:5">
      <c r="A133" s="10"/>
      <c r="B133" s="41"/>
      <c r="C133" s="41"/>
      <c r="D133" s="41"/>
      <c r="E133" s="41"/>
    </row>
    <row r="134" spans="1:5">
      <c r="C134" s="41"/>
      <c r="D134" s="41"/>
      <c r="E134" s="41"/>
    </row>
    <row r="135" spans="1:5">
      <c r="A135" s="10"/>
      <c r="B135" s="41"/>
      <c r="C135" s="41"/>
      <c r="D135" s="41"/>
      <c r="E135" s="41"/>
    </row>
    <row r="136" spans="1:5">
      <c r="A136" s="10"/>
      <c r="B136" s="41"/>
      <c r="C136" s="41"/>
      <c r="D136" s="41"/>
      <c r="E136" s="41"/>
    </row>
    <row r="137" spans="1:5">
      <c r="A137" s="10"/>
      <c r="B137" s="41"/>
      <c r="C137" s="41"/>
      <c r="D137" s="41"/>
      <c r="E137" s="41"/>
    </row>
  </sheetData>
  <mergeCells count="3">
    <mergeCell ref="A1:E1"/>
    <mergeCell ref="J3:K3"/>
    <mergeCell ref="F1:J1"/>
  </mergeCells>
  <phoneticPr fontId="47" type="noConversion"/>
  <pageMargins left="0.59055118110236204" right="0.511811023622047" top="0.511811023622047" bottom="0.511811023622047" header="0.25" footer="0"/>
  <pageSetup paperSize="512" firstPageNumber="52" orientation="portrait" useFirstPageNumber="1" r:id="rId1"/>
  <headerFooter>
    <oddFooter>&amp;C&amp;"Times New Roman,Regular"&amp;8&amp;P</oddFooter>
  </headerFooter>
  <ignoredErrors>
    <ignoredError sqref="C22" formula="1"/>
  </ignoredErrors>
</worksheet>
</file>

<file path=xl/worksheets/sheet23.xml><?xml version="1.0" encoding="utf-8"?>
<worksheet xmlns="http://schemas.openxmlformats.org/spreadsheetml/2006/main" xmlns:r="http://schemas.openxmlformats.org/officeDocument/2006/relationships">
  <dimension ref="A1:S85"/>
  <sheetViews>
    <sheetView zoomScale="130" zoomScaleNormal="130" workbookViewId="0">
      <pane xSplit="2" ySplit="4" topLeftCell="J5" activePane="bottomRight" state="frozen"/>
      <selection pane="topRight" activeCell="C1" sqref="C1"/>
      <selection pane="bottomLeft" activeCell="A5" sqref="A5"/>
      <selection pane="bottomRight" activeCell="P76" sqref="P76"/>
    </sheetView>
  </sheetViews>
  <sheetFormatPr defaultColWidth="9.140625" defaultRowHeight="11.25"/>
  <cols>
    <col min="1" max="1" width="7.5703125" style="24" customWidth="1"/>
    <col min="2" max="2" width="1.28515625" style="24" customWidth="1"/>
    <col min="3" max="3" width="8.28515625" style="10" customWidth="1"/>
    <col min="4" max="4" width="9.28515625" style="10" customWidth="1"/>
    <col min="5" max="5" width="7.140625" style="10" customWidth="1"/>
    <col min="6" max="6" width="9.7109375" style="10" customWidth="1"/>
    <col min="7" max="7" width="8.5703125" style="10" customWidth="1"/>
    <col min="8" max="8" width="8.140625" style="10" customWidth="1"/>
    <col min="9" max="9" width="7.85546875" style="10" customWidth="1"/>
    <col min="10" max="10" width="8.42578125" style="10" customWidth="1"/>
    <col min="11" max="11" width="9.5703125" style="10" customWidth="1"/>
    <col min="12" max="12" width="7.140625" style="10" customWidth="1"/>
    <col min="13" max="15" width="7.7109375" style="10" customWidth="1"/>
    <col min="16" max="16" width="9.7109375" style="10" customWidth="1"/>
    <col min="17" max="17" width="7.85546875" style="10" customWidth="1"/>
    <col min="18" max="18" width="12.5703125" style="10" customWidth="1"/>
    <col min="19" max="19" width="9" style="10" customWidth="1"/>
    <col min="20" max="16384" width="9.140625" style="10"/>
  </cols>
  <sheetData>
    <row r="1" spans="1:19" s="169" customFormat="1" ht="12.75" customHeight="1">
      <c r="A1" s="2047" t="s">
        <v>1323</v>
      </c>
      <c r="B1" s="2047"/>
      <c r="C1" s="2047"/>
      <c r="D1" s="2047"/>
      <c r="E1" s="2047"/>
      <c r="F1" s="2047"/>
      <c r="G1" s="2047"/>
      <c r="H1" s="2047"/>
      <c r="I1" s="2047"/>
      <c r="J1" s="2047"/>
      <c r="K1" s="2046" t="s">
        <v>1007</v>
      </c>
      <c r="L1" s="2046"/>
      <c r="M1" s="2046"/>
      <c r="N1" s="2046"/>
      <c r="O1" s="2046"/>
      <c r="P1" s="2046"/>
      <c r="Q1" s="2046"/>
      <c r="R1" s="2048" t="s">
        <v>2449</v>
      </c>
      <c r="S1" s="2048"/>
    </row>
    <row r="2" spans="1:19" s="31" customFormat="1" ht="10.5" customHeight="1">
      <c r="C2" s="175"/>
      <c r="D2" s="175"/>
      <c r="E2" s="175"/>
      <c r="F2" s="175"/>
      <c r="G2" s="175"/>
      <c r="H2" s="175"/>
      <c r="K2" s="175"/>
      <c r="L2" s="175"/>
      <c r="M2" s="175"/>
      <c r="N2" s="175"/>
      <c r="O2" s="175"/>
      <c r="P2" s="175"/>
      <c r="Q2" s="175"/>
      <c r="R2" s="2052" t="s">
        <v>102</v>
      </c>
      <c r="S2" s="2052"/>
    </row>
    <row r="3" spans="1:19" s="174" customFormat="1" ht="12.75" customHeight="1">
      <c r="A3" s="2042" t="s">
        <v>1126</v>
      </c>
      <c r="B3" s="2043"/>
      <c r="C3" s="2049" t="s">
        <v>2860</v>
      </c>
      <c r="D3" s="2050"/>
      <c r="E3" s="2050"/>
      <c r="F3" s="2050"/>
      <c r="G3" s="2050"/>
      <c r="H3" s="2050"/>
      <c r="I3" s="2050"/>
      <c r="J3" s="2050"/>
      <c r="K3" s="2050"/>
      <c r="L3" s="2050"/>
      <c r="M3" s="2050"/>
      <c r="N3" s="2050"/>
      <c r="O3" s="2050"/>
      <c r="P3" s="2050"/>
      <c r="Q3" s="2050"/>
      <c r="R3" s="2051"/>
      <c r="S3" s="2053" t="s">
        <v>2005</v>
      </c>
    </row>
    <row r="4" spans="1:19" s="116" customFormat="1" ht="39.75" customHeight="1">
      <c r="A4" s="2044"/>
      <c r="B4" s="2045"/>
      <c r="C4" s="29" t="s">
        <v>1127</v>
      </c>
      <c r="D4" s="29" t="s">
        <v>546</v>
      </c>
      <c r="E4" s="29" t="s">
        <v>551</v>
      </c>
      <c r="F4" s="29" t="s">
        <v>232</v>
      </c>
      <c r="G4" s="29" t="s">
        <v>808</v>
      </c>
      <c r="H4" s="29" t="s">
        <v>233</v>
      </c>
      <c r="I4" s="29" t="s">
        <v>234</v>
      </c>
      <c r="J4" s="29" t="s">
        <v>1156</v>
      </c>
      <c r="K4" s="29" t="s">
        <v>809</v>
      </c>
      <c r="L4" s="29" t="s">
        <v>235</v>
      </c>
      <c r="M4" s="29" t="s">
        <v>237</v>
      </c>
      <c r="N4" s="29" t="s">
        <v>238</v>
      </c>
      <c r="O4" s="29" t="s">
        <v>1157</v>
      </c>
      <c r="P4" s="29" t="s">
        <v>562</v>
      </c>
      <c r="Q4" s="29" t="s">
        <v>810</v>
      </c>
      <c r="R4" s="29" t="s">
        <v>239</v>
      </c>
      <c r="S4" s="2053"/>
    </row>
    <row r="5" spans="1:19" ht="11.1" hidden="1" customHeight="1">
      <c r="A5" s="99" t="s">
        <v>152</v>
      </c>
      <c r="B5" s="99"/>
      <c r="C5" s="171">
        <v>850.6</v>
      </c>
      <c r="D5" s="171" t="s">
        <v>836</v>
      </c>
      <c r="E5" s="171">
        <v>89.98</v>
      </c>
      <c r="F5" s="171">
        <v>1758.03</v>
      </c>
      <c r="G5" s="171">
        <v>887.44</v>
      </c>
      <c r="H5" s="171">
        <v>358.45</v>
      </c>
      <c r="I5" s="171">
        <v>15.69</v>
      </c>
      <c r="J5" s="171">
        <v>878.23</v>
      </c>
      <c r="K5" s="171">
        <v>1039.72</v>
      </c>
      <c r="L5" s="171">
        <v>40.03</v>
      </c>
      <c r="M5" s="171">
        <v>312.5</v>
      </c>
      <c r="N5" s="171">
        <v>589.75</v>
      </c>
      <c r="O5" s="171">
        <v>537.61</v>
      </c>
      <c r="P5" s="171" t="s">
        <v>836</v>
      </c>
      <c r="Q5" s="171">
        <v>578.14</v>
      </c>
      <c r="R5" s="172">
        <f t="shared" ref="R5:R17" si="0">SUM(C5:Q5)</f>
        <v>7936.17</v>
      </c>
      <c r="S5" s="113" t="s">
        <v>152</v>
      </c>
    </row>
    <row r="6" spans="1:19" ht="11.1" hidden="1" customHeight="1">
      <c r="A6" s="578" t="s">
        <v>153</v>
      </c>
      <c r="B6" s="578"/>
      <c r="C6" s="599">
        <v>1036.1500000000001</v>
      </c>
      <c r="D6" s="599" t="s">
        <v>836</v>
      </c>
      <c r="E6" s="599">
        <v>143.5</v>
      </c>
      <c r="F6" s="599">
        <v>1789.88</v>
      </c>
      <c r="G6" s="599">
        <v>1026.3800000000001</v>
      </c>
      <c r="H6" s="599">
        <v>379.92</v>
      </c>
      <c r="I6" s="599">
        <v>12.37</v>
      </c>
      <c r="J6" s="599">
        <v>951.91</v>
      </c>
      <c r="K6" s="599">
        <v>1368.03</v>
      </c>
      <c r="L6" s="599">
        <v>184.78</v>
      </c>
      <c r="M6" s="599">
        <v>445.94</v>
      </c>
      <c r="N6" s="599">
        <v>778.27</v>
      </c>
      <c r="O6" s="599">
        <v>421.17</v>
      </c>
      <c r="P6" s="599" t="s">
        <v>836</v>
      </c>
      <c r="Q6" s="599">
        <v>2038.04</v>
      </c>
      <c r="R6" s="600">
        <f t="shared" si="0"/>
        <v>10576.34</v>
      </c>
      <c r="S6" s="553" t="s">
        <v>153</v>
      </c>
    </row>
    <row r="7" spans="1:19" ht="11.1" customHeight="1">
      <c r="A7" s="99" t="s">
        <v>154</v>
      </c>
      <c r="B7" s="99"/>
      <c r="C7" s="171">
        <v>574.05999999999995</v>
      </c>
      <c r="D7" s="171" t="s">
        <v>836</v>
      </c>
      <c r="E7" s="171">
        <v>94.93</v>
      </c>
      <c r="F7" s="171">
        <v>778.84</v>
      </c>
      <c r="G7" s="171">
        <v>744.86</v>
      </c>
      <c r="H7" s="171">
        <v>282.63</v>
      </c>
      <c r="I7" s="171">
        <v>7.85</v>
      </c>
      <c r="J7" s="171">
        <v>767.38</v>
      </c>
      <c r="K7" s="171">
        <v>905.1</v>
      </c>
      <c r="L7" s="171">
        <v>53.42</v>
      </c>
      <c r="M7" s="171">
        <v>311.20999999999998</v>
      </c>
      <c r="N7" s="171">
        <v>318.05</v>
      </c>
      <c r="O7" s="171">
        <v>308.38</v>
      </c>
      <c r="P7" s="171" t="s">
        <v>836</v>
      </c>
      <c r="Q7" s="171">
        <v>637.57000000000005</v>
      </c>
      <c r="R7" s="172">
        <f t="shared" si="0"/>
        <v>5784.2800000000007</v>
      </c>
      <c r="S7" s="113" t="s">
        <v>154</v>
      </c>
    </row>
    <row r="8" spans="1:19" ht="11.1" customHeight="1">
      <c r="A8" s="578" t="s">
        <v>155</v>
      </c>
      <c r="B8" s="578"/>
      <c r="C8" s="599">
        <v>568.64</v>
      </c>
      <c r="D8" s="599" t="s">
        <v>836</v>
      </c>
      <c r="E8" s="599">
        <v>81.96</v>
      </c>
      <c r="F8" s="599">
        <v>458.47</v>
      </c>
      <c r="G8" s="599">
        <v>873.73</v>
      </c>
      <c r="H8" s="599">
        <v>257.98</v>
      </c>
      <c r="I8" s="599">
        <v>17.38</v>
      </c>
      <c r="J8" s="599">
        <v>644.76</v>
      </c>
      <c r="K8" s="599">
        <v>739.85</v>
      </c>
      <c r="L8" s="599">
        <v>54.5</v>
      </c>
      <c r="M8" s="599">
        <v>246.4</v>
      </c>
      <c r="N8" s="599">
        <v>256.51</v>
      </c>
      <c r="O8" s="599">
        <v>277.72000000000003</v>
      </c>
      <c r="P8" s="599" t="s">
        <v>836</v>
      </c>
      <c r="Q8" s="599">
        <v>490.5</v>
      </c>
      <c r="R8" s="600">
        <f t="shared" si="0"/>
        <v>4968.4000000000005</v>
      </c>
      <c r="S8" s="553" t="s">
        <v>155</v>
      </c>
    </row>
    <row r="9" spans="1:19" ht="11.1" customHeight="1">
      <c r="A9" s="99" t="s">
        <v>156</v>
      </c>
      <c r="B9" s="99"/>
      <c r="C9" s="171">
        <v>893.53</v>
      </c>
      <c r="D9" s="171" t="s">
        <v>836</v>
      </c>
      <c r="E9" s="171">
        <v>75.95</v>
      </c>
      <c r="F9" s="171">
        <v>467.54</v>
      </c>
      <c r="G9" s="171">
        <v>668.81</v>
      </c>
      <c r="H9" s="171">
        <v>256.83999999999997</v>
      </c>
      <c r="I9" s="171">
        <v>14.84</v>
      </c>
      <c r="J9" s="171">
        <v>608.01</v>
      </c>
      <c r="K9" s="171">
        <v>1081.43</v>
      </c>
      <c r="L9" s="171">
        <v>33.57</v>
      </c>
      <c r="M9" s="171">
        <v>234.1</v>
      </c>
      <c r="N9" s="171">
        <v>452.11</v>
      </c>
      <c r="O9" s="171">
        <v>267.41000000000003</v>
      </c>
      <c r="P9" s="171" t="s">
        <v>836</v>
      </c>
      <c r="Q9" s="171">
        <v>571.65</v>
      </c>
      <c r="R9" s="172">
        <f t="shared" si="0"/>
        <v>5625.79</v>
      </c>
      <c r="S9" s="113" t="s">
        <v>156</v>
      </c>
    </row>
    <row r="10" spans="1:19" ht="11.1" customHeight="1">
      <c r="A10" s="578" t="s">
        <v>1258</v>
      </c>
      <c r="B10" s="578"/>
      <c r="C10" s="599">
        <v>2004.5</v>
      </c>
      <c r="D10" s="599" t="s">
        <v>836</v>
      </c>
      <c r="E10" s="599">
        <v>100.3</v>
      </c>
      <c r="F10" s="599">
        <v>492.5</v>
      </c>
      <c r="G10" s="599">
        <v>691</v>
      </c>
      <c r="H10" s="599">
        <v>273.8</v>
      </c>
      <c r="I10" s="599">
        <v>12</v>
      </c>
      <c r="J10" s="599">
        <v>739.3</v>
      </c>
      <c r="K10" s="599">
        <v>1098</v>
      </c>
      <c r="L10" s="599">
        <v>29.2</v>
      </c>
      <c r="M10" s="599">
        <v>231.1</v>
      </c>
      <c r="N10" s="599">
        <v>603.6</v>
      </c>
      <c r="O10" s="599">
        <v>290.5</v>
      </c>
      <c r="P10" s="599" t="s">
        <v>836</v>
      </c>
      <c r="Q10" s="599">
        <v>570.70000000000005</v>
      </c>
      <c r="R10" s="600">
        <f t="shared" si="0"/>
        <v>7136.5000000000009</v>
      </c>
      <c r="S10" s="553" t="s">
        <v>1258</v>
      </c>
    </row>
    <row r="11" spans="1:19" ht="11.1" customHeight="1">
      <c r="A11" s="99" t="s">
        <v>1259</v>
      </c>
      <c r="B11" s="99"/>
      <c r="C11" s="171">
        <v>1931.6</v>
      </c>
      <c r="D11" s="171" t="s">
        <v>836</v>
      </c>
      <c r="E11" s="171">
        <v>108.2</v>
      </c>
      <c r="F11" s="171">
        <v>443.1</v>
      </c>
      <c r="G11" s="171">
        <v>829</v>
      </c>
      <c r="H11" s="171">
        <v>250.6</v>
      </c>
      <c r="I11" s="171">
        <v>10.7</v>
      </c>
      <c r="J11" s="171">
        <v>604</v>
      </c>
      <c r="K11" s="171">
        <v>940.6</v>
      </c>
      <c r="L11" s="171">
        <v>28.4</v>
      </c>
      <c r="M11" s="171">
        <v>146.4</v>
      </c>
      <c r="N11" s="171">
        <v>384.3</v>
      </c>
      <c r="O11" s="171">
        <v>301.39999999999998</v>
      </c>
      <c r="P11" s="171" t="s">
        <v>836</v>
      </c>
      <c r="Q11" s="171">
        <v>488.5</v>
      </c>
      <c r="R11" s="172">
        <f t="shared" si="0"/>
        <v>6466.7999999999993</v>
      </c>
      <c r="S11" s="113" t="s">
        <v>1259</v>
      </c>
    </row>
    <row r="12" spans="1:19" ht="11.1" customHeight="1">
      <c r="A12" s="578" t="s">
        <v>226</v>
      </c>
      <c r="B12" s="578"/>
      <c r="C12" s="599">
        <v>2042.7</v>
      </c>
      <c r="D12" s="599" t="s">
        <v>836</v>
      </c>
      <c r="E12" s="599">
        <v>99.4</v>
      </c>
      <c r="F12" s="599">
        <v>552.4</v>
      </c>
      <c r="G12" s="599">
        <v>859.2</v>
      </c>
      <c r="H12" s="599">
        <v>381.1</v>
      </c>
      <c r="I12" s="599">
        <v>12.7</v>
      </c>
      <c r="J12" s="599">
        <v>618.9</v>
      </c>
      <c r="K12" s="599">
        <v>1120.2</v>
      </c>
      <c r="L12" s="599">
        <v>31.2</v>
      </c>
      <c r="M12" s="599">
        <v>158</v>
      </c>
      <c r="N12" s="599">
        <v>369.2</v>
      </c>
      <c r="O12" s="599">
        <v>383.8</v>
      </c>
      <c r="P12" s="599" t="s">
        <v>836</v>
      </c>
      <c r="Q12" s="599">
        <v>587.5</v>
      </c>
      <c r="R12" s="600">
        <f t="shared" si="0"/>
        <v>7216.2999999999993</v>
      </c>
      <c r="S12" s="553" t="s">
        <v>226</v>
      </c>
    </row>
    <row r="13" spans="1:19" ht="11.1" customHeight="1">
      <c r="A13" s="99" t="s">
        <v>240</v>
      </c>
      <c r="B13" s="99"/>
      <c r="C13" s="171">
        <v>5078.6000000000004</v>
      </c>
      <c r="D13" s="171" t="s">
        <v>836</v>
      </c>
      <c r="E13" s="171">
        <v>144.9</v>
      </c>
      <c r="F13" s="171">
        <v>687</v>
      </c>
      <c r="G13" s="171">
        <v>1160.5999999999999</v>
      </c>
      <c r="H13" s="171">
        <v>416.4</v>
      </c>
      <c r="I13" s="171">
        <v>12.4</v>
      </c>
      <c r="J13" s="171">
        <v>753.3</v>
      </c>
      <c r="K13" s="171">
        <v>2401.6999999999998</v>
      </c>
      <c r="L13" s="171">
        <v>25.9</v>
      </c>
      <c r="M13" s="171">
        <v>205.6</v>
      </c>
      <c r="N13" s="171">
        <v>1933.4</v>
      </c>
      <c r="O13" s="171">
        <v>654</v>
      </c>
      <c r="P13" s="171" t="s">
        <v>836</v>
      </c>
      <c r="Q13" s="171">
        <v>711.3</v>
      </c>
      <c r="R13" s="172">
        <f t="shared" si="0"/>
        <v>14185.099999999997</v>
      </c>
      <c r="S13" s="113" t="s">
        <v>240</v>
      </c>
    </row>
    <row r="14" spans="1:19" ht="11.1" customHeight="1">
      <c r="A14" s="578" t="s">
        <v>1205</v>
      </c>
      <c r="B14" s="578"/>
      <c r="C14" s="599">
        <v>9818</v>
      </c>
      <c r="D14" s="599" t="s">
        <v>836</v>
      </c>
      <c r="E14" s="599">
        <v>224.7</v>
      </c>
      <c r="F14" s="599">
        <v>739.1</v>
      </c>
      <c r="G14" s="599">
        <v>968.4</v>
      </c>
      <c r="H14" s="599">
        <v>404.2</v>
      </c>
      <c r="I14" s="599">
        <v>13.7</v>
      </c>
      <c r="J14" s="599">
        <v>845.4</v>
      </c>
      <c r="K14" s="599">
        <v>3235.5</v>
      </c>
      <c r="L14" s="599">
        <v>20.399999999999999</v>
      </c>
      <c r="M14" s="599">
        <v>172.4</v>
      </c>
      <c r="N14" s="599">
        <v>3120.2</v>
      </c>
      <c r="O14" s="599">
        <v>833.67</v>
      </c>
      <c r="P14" s="599" t="s">
        <v>836</v>
      </c>
      <c r="Q14" s="599">
        <v>821.9</v>
      </c>
      <c r="R14" s="600">
        <f t="shared" si="0"/>
        <v>21217.570000000003</v>
      </c>
      <c r="S14" s="553" t="s">
        <v>1205</v>
      </c>
    </row>
    <row r="15" spans="1:19" ht="11.1" customHeight="1">
      <c r="A15" s="99" t="s">
        <v>1210</v>
      </c>
      <c r="B15" s="99"/>
      <c r="C15" s="19">
        <v>10102.799999999999</v>
      </c>
      <c r="D15" s="171" t="s">
        <v>836</v>
      </c>
      <c r="E15" s="19">
        <v>189.5</v>
      </c>
      <c r="F15" s="19">
        <v>595.6</v>
      </c>
      <c r="G15" s="19">
        <v>618.70000000000005</v>
      </c>
      <c r="H15" s="19">
        <v>1115.5999999999999</v>
      </c>
      <c r="I15" s="19">
        <v>15.7</v>
      </c>
      <c r="J15" s="19">
        <v>1064.4000000000001</v>
      </c>
      <c r="K15" s="19">
        <v>2408.6999999999998</v>
      </c>
      <c r="L15" s="19">
        <v>17.600000000000001</v>
      </c>
      <c r="M15" s="19">
        <v>127.4</v>
      </c>
      <c r="N15" s="19">
        <v>2250.3000000000002</v>
      </c>
      <c r="O15" s="19">
        <v>823.7</v>
      </c>
      <c r="P15" s="19" t="s">
        <v>836</v>
      </c>
      <c r="Q15" s="19">
        <v>1020.2</v>
      </c>
      <c r="R15" s="39">
        <f t="shared" si="0"/>
        <v>20350.2</v>
      </c>
      <c r="S15" s="113" t="s">
        <v>1210</v>
      </c>
    </row>
    <row r="16" spans="1:19" ht="11.1" customHeight="1">
      <c r="A16" s="578" t="s">
        <v>1219</v>
      </c>
      <c r="B16" s="578"/>
      <c r="C16" s="580">
        <v>23112.799999999999</v>
      </c>
      <c r="D16" s="599" t="s">
        <v>836</v>
      </c>
      <c r="E16" s="580">
        <v>532.79999999999995</v>
      </c>
      <c r="F16" s="580">
        <v>1047</v>
      </c>
      <c r="G16" s="580">
        <v>676.5</v>
      </c>
      <c r="H16" s="580">
        <v>4810</v>
      </c>
      <c r="I16" s="580">
        <v>14.2</v>
      </c>
      <c r="J16" s="580">
        <v>1096.2</v>
      </c>
      <c r="K16" s="580">
        <v>3790.2</v>
      </c>
      <c r="L16" s="580">
        <v>27.2</v>
      </c>
      <c r="M16" s="580">
        <v>182.8</v>
      </c>
      <c r="N16" s="580">
        <v>3059.3</v>
      </c>
      <c r="O16" s="580">
        <v>1202.3</v>
      </c>
      <c r="P16" s="580" t="s">
        <v>836</v>
      </c>
      <c r="Q16" s="580">
        <v>1603.4</v>
      </c>
      <c r="R16" s="540">
        <f t="shared" si="0"/>
        <v>41154.700000000004</v>
      </c>
      <c r="S16" s="555" t="s">
        <v>1219</v>
      </c>
    </row>
    <row r="17" spans="1:19" ht="11.1" customHeight="1">
      <c r="A17" s="24" t="s">
        <v>916</v>
      </c>
      <c r="C17" s="21">
        <v>41640.400000000001</v>
      </c>
      <c r="D17" s="171" t="s">
        <v>836</v>
      </c>
      <c r="E17" s="21">
        <v>2827.4</v>
      </c>
      <c r="F17" s="21">
        <v>1963.5</v>
      </c>
      <c r="G17" s="21">
        <v>1288.8</v>
      </c>
      <c r="H17" s="21">
        <v>7310.3</v>
      </c>
      <c r="I17" s="21">
        <v>24.6</v>
      </c>
      <c r="J17" s="21">
        <v>1443.4</v>
      </c>
      <c r="K17" s="21">
        <v>8494.4</v>
      </c>
      <c r="L17" s="21">
        <v>52.6</v>
      </c>
      <c r="M17" s="21">
        <v>697.9</v>
      </c>
      <c r="N17" s="21">
        <v>4116.8999999999996</v>
      </c>
      <c r="O17" s="21">
        <v>5192.1000000000004</v>
      </c>
      <c r="P17" s="21" t="s">
        <v>836</v>
      </c>
      <c r="Q17" s="21">
        <v>3829.9</v>
      </c>
      <c r="R17" s="21">
        <f t="shared" si="0"/>
        <v>78882.2</v>
      </c>
      <c r="S17" s="173" t="s">
        <v>916</v>
      </c>
    </row>
    <row r="18" spans="1:19" ht="11.1" customHeight="1">
      <c r="A18" s="601" t="s">
        <v>230</v>
      </c>
      <c r="B18" s="601"/>
      <c r="C18" s="537">
        <v>38682.199999999997</v>
      </c>
      <c r="D18" s="599" t="s">
        <v>836</v>
      </c>
      <c r="E18" s="537">
        <v>4090.1</v>
      </c>
      <c r="F18" s="537">
        <v>3948</v>
      </c>
      <c r="G18" s="537">
        <v>2124.8000000000002</v>
      </c>
      <c r="H18" s="537">
        <v>16645.400000000001</v>
      </c>
      <c r="I18" s="537">
        <v>33.9</v>
      </c>
      <c r="J18" s="537">
        <v>3225.2</v>
      </c>
      <c r="K18" s="537">
        <v>11548.9</v>
      </c>
      <c r="L18" s="537">
        <v>108.8</v>
      </c>
      <c r="M18" s="537">
        <v>2849.6</v>
      </c>
      <c r="N18" s="537">
        <v>4337.5</v>
      </c>
      <c r="O18" s="537">
        <v>5548.6</v>
      </c>
      <c r="P18" s="537" t="s">
        <v>836</v>
      </c>
      <c r="Q18" s="537">
        <v>7000.3</v>
      </c>
      <c r="R18" s="537">
        <v>100143.30000000002</v>
      </c>
      <c r="S18" s="602" t="s">
        <v>230</v>
      </c>
    </row>
    <row r="19" spans="1:19" s="159" customFormat="1" ht="11.1" customHeight="1">
      <c r="A19" s="125" t="s">
        <v>220</v>
      </c>
      <c r="B19" s="125"/>
      <c r="C19" s="642">
        <v>64408.3</v>
      </c>
      <c r="D19" s="651">
        <v>28352.9</v>
      </c>
      <c r="E19" s="642">
        <v>2723.1</v>
      </c>
      <c r="F19" s="642">
        <v>9507.7999999999993</v>
      </c>
      <c r="G19" s="642">
        <v>4335.1000000000004</v>
      </c>
      <c r="H19" s="642">
        <v>30142.7</v>
      </c>
      <c r="I19" s="642">
        <v>61.1</v>
      </c>
      <c r="J19" s="642">
        <v>6098</v>
      </c>
      <c r="K19" s="642">
        <v>16282.4</v>
      </c>
      <c r="L19" s="642">
        <v>85.9</v>
      </c>
      <c r="M19" s="642">
        <v>2684.7</v>
      </c>
      <c r="N19" s="642">
        <v>5476.9</v>
      </c>
      <c r="O19" s="642">
        <v>10591.1</v>
      </c>
      <c r="P19" s="642">
        <v>31826.6</v>
      </c>
      <c r="Q19" s="642">
        <v>15064.2</v>
      </c>
      <c r="R19" s="642">
        <v>227640.80000000005</v>
      </c>
      <c r="S19" s="652" t="s">
        <v>220</v>
      </c>
    </row>
    <row r="20" spans="1:19" s="159" customFormat="1" ht="11.1" customHeight="1">
      <c r="A20" s="815" t="s">
        <v>489</v>
      </c>
      <c r="B20" s="815"/>
      <c r="C20" s="531">
        <v>68061.899999999994</v>
      </c>
      <c r="D20" s="816">
        <v>28715.5</v>
      </c>
      <c r="E20" s="531">
        <v>3595.5</v>
      </c>
      <c r="F20" s="531">
        <v>12054.8</v>
      </c>
      <c r="G20" s="531">
        <v>5342</v>
      </c>
      <c r="H20" s="531">
        <v>28931.4</v>
      </c>
      <c r="I20" s="531">
        <v>79</v>
      </c>
      <c r="J20" s="531">
        <v>8229.2000000000007</v>
      </c>
      <c r="K20" s="531">
        <v>18080.8</v>
      </c>
      <c r="L20" s="531">
        <v>90.6</v>
      </c>
      <c r="M20" s="531">
        <v>1871.8</v>
      </c>
      <c r="N20" s="531">
        <v>7703</v>
      </c>
      <c r="O20" s="531">
        <v>14010.4</v>
      </c>
      <c r="P20" s="531">
        <v>22131.4</v>
      </c>
      <c r="Q20" s="531">
        <v>13804.3</v>
      </c>
      <c r="R20" s="531">
        <v>232701.59999999998</v>
      </c>
      <c r="S20" s="817" t="s">
        <v>489</v>
      </c>
    </row>
    <row r="21" spans="1:19" s="159" customFormat="1" ht="11.1" customHeight="1">
      <c r="A21" s="1146" t="s">
        <v>1580</v>
      </c>
      <c r="B21" s="1146"/>
      <c r="C21" s="483">
        <v>51238.6</v>
      </c>
      <c r="D21" s="1147">
        <v>18987.8</v>
      </c>
      <c r="E21" s="483">
        <v>3588.1</v>
      </c>
      <c r="F21" s="483">
        <v>8631.4</v>
      </c>
      <c r="G21" s="483">
        <v>5117.6000000000004</v>
      </c>
      <c r="H21" s="483">
        <v>24813</v>
      </c>
      <c r="I21" s="483">
        <v>49.8</v>
      </c>
      <c r="J21" s="483">
        <v>4585</v>
      </c>
      <c r="K21" s="483">
        <v>16465.8</v>
      </c>
      <c r="L21" s="483">
        <v>48.8</v>
      </c>
      <c r="M21" s="483">
        <v>1187.3</v>
      </c>
      <c r="N21" s="483">
        <v>8386.2999999999993</v>
      </c>
      <c r="O21" s="483">
        <v>10716.9</v>
      </c>
      <c r="P21" s="483">
        <v>28924.3</v>
      </c>
      <c r="Q21" s="483">
        <v>10503.380000000001</v>
      </c>
      <c r="R21" s="483">
        <v>193244.07999999996</v>
      </c>
      <c r="S21" s="1148" t="s">
        <v>1580</v>
      </c>
    </row>
    <row r="22" spans="1:19" s="159" customFormat="1" ht="11.1" customHeight="1">
      <c r="A22" s="815" t="s">
        <v>1809</v>
      </c>
      <c r="B22" s="815"/>
      <c r="C22" s="531">
        <v>41710.1</v>
      </c>
      <c r="D22" s="816">
        <v>16994.599999999999</v>
      </c>
      <c r="E22" s="531">
        <v>4130.8</v>
      </c>
      <c r="F22" s="531">
        <v>9567</v>
      </c>
      <c r="G22" s="531">
        <v>8581.6</v>
      </c>
      <c r="H22" s="531">
        <v>29036.7</v>
      </c>
      <c r="I22" s="531">
        <v>49.5</v>
      </c>
      <c r="J22" s="531">
        <v>6418.5</v>
      </c>
      <c r="K22" s="531">
        <v>19754.099999999999</v>
      </c>
      <c r="L22" s="531">
        <v>32.9</v>
      </c>
      <c r="M22" s="531">
        <v>954.1</v>
      </c>
      <c r="N22" s="531">
        <v>9156.1</v>
      </c>
      <c r="O22" s="531">
        <v>10675.2</v>
      </c>
      <c r="P22" s="531">
        <v>27168.2</v>
      </c>
      <c r="Q22" s="531">
        <v>13513.613000000001</v>
      </c>
      <c r="R22" s="531">
        <v>197743.01300000004</v>
      </c>
      <c r="S22" s="817" t="s">
        <v>1809</v>
      </c>
    </row>
    <row r="23" spans="1:19" s="315" customFormat="1" ht="11.1" customHeight="1">
      <c r="A23" s="758" t="s">
        <v>2226</v>
      </c>
      <c r="B23" s="758"/>
      <c r="C23" s="259">
        <f>C35</f>
        <v>39281.1</v>
      </c>
      <c r="D23" s="259">
        <f t="shared" ref="D23:R23" si="1">D35</f>
        <v>15318.1</v>
      </c>
      <c r="E23" s="259">
        <f t="shared" si="1"/>
        <v>3431.1</v>
      </c>
      <c r="F23" s="259">
        <f t="shared" si="1"/>
        <v>9860.7000000000007</v>
      </c>
      <c r="G23" s="259">
        <f t="shared" si="1"/>
        <v>18418.5</v>
      </c>
      <c r="H23" s="259">
        <f t="shared" si="1"/>
        <v>29365.5</v>
      </c>
      <c r="I23" s="259">
        <f t="shared" si="1"/>
        <v>66.900000000000006</v>
      </c>
      <c r="J23" s="259">
        <f t="shared" si="1"/>
        <v>8245.7999999999993</v>
      </c>
      <c r="K23" s="259">
        <f t="shared" si="1"/>
        <v>30676.799999999999</v>
      </c>
      <c r="L23" s="259">
        <f t="shared" si="1"/>
        <v>50.9</v>
      </c>
      <c r="M23" s="259">
        <f t="shared" si="1"/>
        <v>1002.3</v>
      </c>
      <c r="N23" s="259">
        <f t="shared" si="1"/>
        <v>15672.4</v>
      </c>
      <c r="O23" s="259">
        <f t="shared" si="1"/>
        <v>9972.4</v>
      </c>
      <c r="P23" s="259">
        <f t="shared" si="1"/>
        <v>43364.9</v>
      </c>
      <c r="Q23" s="259">
        <f t="shared" si="1"/>
        <v>13898.900999999998</v>
      </c>
      <c r="R23" s="259">
        <f t="shared" si="1"/>
        <v>238626.30099999998</v>
      </c>
      <c r="S23" s="761" t="s">
        <v>2226</v>
      </c>
    </row>
    <row r="24" spans="1:19" s="315" customFormat="1" ht="11.1" hidden="1" customHeight="1">
      <c r="A24" s="554" t="s">
        <v>1211</v>
      </c>
      <c r="B24" s="554"/>
      <c r="C24" s="537">
        <v>38336</v>
      </c>
      <c r="D24" s="537">
        <v>15909.4</v>
      </c>
      <c r="E24" s="537">
        <v>3888.7</v>
      </c>
      <c r="F24" s="537">
        <v>9308.2999999999993</v>
      </c>
      <c r="G24" s="537">
        <v>11035.5</v>
      </c>
      <c r="H24" s="537">
        <v>29009.8</v>
      </c>
      <c r="I24" s="537">
        <v>48.9</v>
      </c>
      <c r="J24" s="537">
        <v>6545.7</v>
      </c>
      <c r="K24" s="537">
        <v>20025.400000000001</v>
      </c>
      <c r="L24" s="537">
        <v>30.4</v>
      </c>
      <c r="M24" s="537">
        <v>793.5</v>
      </c>
      <c r="N24" s="537">
        <v>8812.7999999999993</v>
      </c>
      <c r="O24" s="537">
        <v>9790.6</v>
      </c>
      <c r="P24" s="537">
        <v>28780.7</v>
      </c>
      <c r="Q24" s="537">
        <f>467.3+1387.9+2007.7+3596.93+4422.6+659.4</f>
        <v>12541.83</v>
      </c>
      <c r="R24" s="537">
        <f t="shared" ref="R24:R48" si="2">SUM(C24:Q24)</f>
        <v>194857.52999999997</v>
      </c>
      <c r="S24" s="555" t="s">
        <v>1211</v>
      </c>
    </row>
    <row r="25" spans="1:19" s="315" customFormat="1" ht="11.1" hidden="1" customHeight="1">
      <c r="A25" s="759" t="s">
        <v>1212</v>
      </c>
      <c r="B25" s="759"/>
      <c r="C25" s="43">
        <v>37358.1</v>
      </c>
      <c r="D25" s="43">
        <v>17115.2</v>
      </c>
      <c r="E25" s="43">
        <v>3475</v>
      </c>
      <c r="F25" s="43">
        <v>10088.9</v>
      </c>
      <c r="G25" s="43">
        <v>12057.7</v>
      </c>
      <c r="H25" s="43">
        <v>29624.400000000001</v>
      </c>
      <c r="I25" s="43">
        <v>57.8</v>
      </c>
      <c r="J25" s="43">
        <v>7225.2</v>
      </c>
      <c r="K25" s="43">
        <v>20514.3</v>
      </c>
      <c r="L25" s="43">
        <v>33.4</v>
      </c>
      <c r="M25" s="43">
        <v>923.7</v>
      </c>
      <c r="N25" s="43">
        <v>10381.1</v>
      </c>
      <c r="O25" s="43">
        <v>11586.7</v>
      </c>
      <c r="P25" s="43">
        <v>32395.9</v>
      </c>
      <c r="Q25" s="43">
        <f>518+1804+2311.5+3707.165+4782.7+650.8</f>
        <v>13774.165000000001</v>
      </c>
      <c r="R25" s="43">
        <f t="shared" si="2"/>
        <v>206611.565</v>
      </c>
      <c r="S25" s="809" t="s">
        <v>1212</v>
      </c>
    </row>
    <row r="26" spans="1:19" s="315" customFormat="1" ht="11.1" hidden="1" customHeight="1">
      <c r="A26" s="554" t="s">
        <v>1206</v>
      </c>
      <c r="B26" s="554"/>
      <c r="C26" s="537">
        <v>35908.1</v>
      </c>
      <c r="D26" s="537">
        <v>16112.9</v>
      </c>
      <c r="E26" s="537">
        <v>3491.1</v>
      </c>
      <c r="F26" s="537">
        <v>9228.4</v>
      </c>
      <c r="G26" s="537">
        <v>12784.9</v>
      </c>
      <c r="H26" s="537">
        <v>27518.7</v>
      </c>
      <c r="I26" s="537">
        <v>63.5</v>
      </c>
      <c r="J26" s="537">
        <v>7282.7</v>
      </c>
      <c r="K26" s="537">
        <v>21862.2</v>
      </c>
      <c r="L26" s="537">
        <v>66.7</v>
      </c>
      <c r="M26" s="537">
        <v>909.6</v>
      </c>
      <c r="N26" s="537">
        <v>9379.5</v>
      </c>
      <c r="O26" s="537">
        <v>11286.1</v>
      </c>
      <c r="P26" s="537">
        <v>28385.200000000001</v>
      </c>
      <c r="Q26" s="537">
        <f>513.4+1634.2+2092.5+3513.54+4452.7+663.1</f>
        <v>12869.44</v>
      </c>
      <c r="R26" s="537">
        <f t="shared" si="2"/>
        <v>197149.04000000004</v>
      </c>
      <c r="S26" s="555" t="s">
        <v>1206</v>
      </c>
    </row>
    <row r="27" spans="1:19" s="315" customFormat="1" ht="11.1" hidden="1" customHeight="1">
      <c r="A27" s="759" t="s">
        <v>1213</v>
      </c>
      <c r="B27" s="759"/>
      <c r="C27" s="43">
        <v>39123.800000000003</v>
      </c>
      <c r="D27" s="43">
        <v>14395.6</v>
      </c>
      <c r="E27" s="43">
        <v>3394.6</v>
      </c>
      <c r="F27" s="43">
        <v>9293.7000000000007</v>
      </c>
      <c r="G27" s="43">
        <v>12637</v>
      </c>
      <c r="H27" s="43">
        <v>26458.799999999999</v>
      </c>
      <c r="I27" s="43">
        <v>49.9</v>
      </c>
      <c r="J27" s="43">
        <v>7537.1</v>
      </c>
      <c r="K27" s="43">
        <v>21725</v>
      </c>
      <c r="L27" s="43">
        <v>47.5</v>
      </c>
      <c r="M27" s="43">
        <v>872.1</v>
      </c>
      <c r="N27" s="43">
        <v>9042.2999999999993</v>
      </c>
      <c r="O27" s="43">
        <v>8650.9</v>
      </c>
      <c r="P27" s="43">
        <v>28483.3</v>
      </c>
      <c r="Q27" s="43">
        <f>459.2+1599.3+1991.2+3122.781+4159.8+644.3</f>
        <v>11976.580999999998</v>
      </c>
      <c r="R27" s="43">
        <f t="shared" si="2"/>
        <v>193688.18099999998</v>
      </c>
      <c r="S27" s="809" t="s">
        <v>1213</v>
      </c>
    </row>
    <row r="28" spans="1:19" s="315" customFormat="1" ht="11.1" hidden="1" customHeight="1">
      <c r="A28" s="554" t="s">
        <v>1214</v>
      </c>
      <c r="B28" s="554"/>
      <c r="C28" s="537">
        <v>41345.599999999999</v>
      </c>
      <c r="D28" s="537">
        <v>14836.3</v>
      </c>
      <c r="E28" s="537">
        <v>3469.2</v>
      </c>
      <c r="F28" s="537">
        <v>9980.7000000000007</v>
      </c>
      <c r="G28" s="537">
        <v>13267.2</v>
      </c>
      <c r="H28" s="537">
        <v>27499.4</v>
      </c>
      <c r="I28" s="537">
        <v>55.3</v>
      </c>
      <c r="J28" s="537">
        <v>8642</v>
      </c>
      <c r="K28" s="537">
        <v>23047.5</v>
      </c>
      <c r="L28" s="537">
        <v>52.4</v>
      </c>
      <c r="M28" s="537">
        <v>961.4</v>
      </c>
      <c r="N28" s="537">
        <v>9168.6</v>
      </c>
      <c r="O28" s="537">
        <v>11577.1</v>
      </c>
      <c r="P28" s="537">
        <v>30000.1</v>
      </c>
      <c r="Q28" s="537">
        <f>470.4+1643.3+2145.2+3401.001+4656+641.7</f>
        <v>12957.601000000001</v>
      </c>
      <c r="R28" s="537">
        <f t="shared" si="2"/>
        <v>206860.40100000001</v>
      </c>
      <c r="S28" s="555" t="s">
        <v>1214</v>
      </c>
    </row>
    <row r="29" spans="1:19" s="315" customFormat="1" ht="11.1" hidden="1" customHeight="1">
      <c r="A29" s="759" t="s">
        <v>1207</v>
      </c>
      <c r="B29" s="759"/>
      <c r="C29" s="43">
        <v>42430.1</v>
      </c>
      <c r="D29" s="43">
        <v>15843.4</v>
      </c>
      <c r="E29" s="43">
        <v>3537.3</v>
      </c>
      <c r="F29" s="43">
        <v>11526.7</v>
      </c>
      <c r="G29" s="43">
        <v>12717.3</v>
      </c>
      <c r="H29" s="43">
        <v>25565</v>
      </c>
      <c r="I29" s="43">
        <v>56.7</v>
      </c>
      <c r="J29" s="43">
        <v>9047.6</v>
      </c>
      <c r="K29" s="43">
        <v>22871.200000000001</v>
      </c>
      <c r="L29" s="43">
        <v>69</v>
      </c>
      <c r="M29" s="43">
        <v>980.4</v>
      </c>
      <c r="N29" s="43">
        <v>9274.7999999999993</v>
      </c>
      <c r="O29" s="43">
        <v>12077</v>
      </c>
      <c r="P29" s="43">
        <v>29647.599999999999</v>
      </c>
      <c r="Q29" s="43">
        <f>541.3+1659.5+2181.2+3292.922+4625.3+638.4</f>
        <v>12938.622000000001</v>
      </c>
      <c r="R29" s="43">
        <f t="shared" si="2"/>
        <v>208582.72200000001</v>
      </c>
      <c r="S29" s="809" t="s">
        <v>1207</v>
      </c>
    </row>
    <row r="30" spans="1:19" s="315" customFormat="1" ht="11.1" hidden="1" customHeight="1">
      <c r="A30" s="554" t="s">
        <v>1215</v>
      </c>
      <c r="B30" s="554"/>
      <c r="C30" s="537">
        <v>46608.800000000003</v>
      </c>
      <c r="D30" s="537">
        <v>17580.599999999999</v>
      </c>
      <c r="E30" s="537">
        <v>3867.3</v>
      </c>
      <c r="F30" s="537">
        <v>10702.1</v>
      </c>
      <c r="G30" s="537">
        <v>17157</v>
      </c>
      <c r="H30" s="537">
        <v>30306.7</v>
      </c>
      <c r="I30" s="537">
        <v>60.3</v>
      </c>
      <c r="J30" s="537">
        <v>9495.9</v>
      </c>
      <c r="K30" s="537">
        <v>26097.599999999999</v>
      </c>
      <c r="L30" s="537">
        <v>62.3</v>
      </c>
      <c r="M30" s="537">
        <v>1094.9000000000001</v>
      </c>
      <c r="N30" s="537">
        <v>10566.4</v>
      </c>
      <c r="O30" s="537">
        <v>13133</v>
      </c>
      <c r="P30" s="537">
        <v>31197.4</v>
      </c>
      <c r="Q30" s="537">
        <f>579.7+1928.3+2324.3+3608.587+4858.8+644.3</f>
        <v>13943.987000000001</v>
      </c>
      <c r="R30" s="537">
        <f t="shared" si="2"/>
        <v>231874.28699999998</v>
      </c>
      <c r="S30" s="555" t="s">
        <v>1215</v>
      </c>
    </row>
    <row r="31" spans="1:19" s="315" customFormat="1" ht="11.1" hidden="1" customHeight="1">
      <c r="A31" s="759" t="s">
        <v>1216</v>
      </c>
      <c r="B31" s="759"/>
      <c r="C31" s="43">
        <v>44545.8</v>
      </c>
      <c r="D31" s="43">
        <v>17102.5</v>
      </c>
      <c r="E31" s="43">
        <v>3832.4</v>
      </c>
      <c r="F31" s="43">
        <v>10338.200000000001</v>
      </c>
      <c r="G31" s="43">
        <v>20082.099999999999</v>
      </c>
      <c r="H31" s="43">
        <v>30611.5</v>
      </c>
      <c r="I31" s="43">
        <v>61.6</v>
      </c>
      <c r="J31" s="43">
        <v>8687.6</v>
      </c>
      <c r="K31" s="43">
        <v>29247.5</v>
      </c>
      <c r="L31" s="43">
        <v>60.2</v>
      </c>
      <c r="M31" s="43">
        <v>1036.7</v>
      </c>
      <c r="N31" s="43">
        <v>10794.9</v>
      </c>
      <c r="O31" s="43">
        <v>13075.3</v>
      </c>
      <c r="P31" s="43">
        <v>32184</v>
      </c>
      <c r="Q31" s="43">
        <f>555.9+2210.7+2062.4+3392.985+5052.6+655.6</f>
        <v>13930.185000000001</v>
      </c>
      <c r="R31" s="43">
        <f t="shared" si="2"/>
        <v>235590.48500000002</v>
      </c>
      <c r="S31" s="809" t="s">
        <v>1216</v>
      </c>
    </row>
    <row r="32" spans="1:19" s="315" customFormat="1" ht="11.1" hidden="1" customHeight="1">
      <c r="A32" s="554" t="s">
        <v>1208</v>
      </c>
      <c r="B32" s="554"/>
      <c r="C32" s="537">
        <v>40286.6</v>
      </c>
      <c r="D32" s="537">
        <v>16118.1</v>
      </c>
      <c r="E32" s="537">
        <v>3605</v>
      </c>
      <c r="F32" s="537">
        <v>9698.7000000000007</v>
      </c>
      <c r="G32" s="537">
        <v>19903.3</v>
      </c>
      <c r="H32" s="537">
        <v>29245.9</v>
      </c>
      <c r="I32" s="537">
        <v>75</v>
      </c>
      <c r="J32" s="537">
        <v>8524.1</v>
      </c>
      <c r="K32" s="537">
        <v>29353.7</v>
      </c>
      <c r="L32" s="537">
        <v>70.3</v>
      </c>
      <c r="M32" s="537">
        <v>992.2</v>
      </c>
      <c r="N32" s="537">
        <v>11374.6</v>
      </c>
      <c r="O32" s="537">
        <v>12125.7</v>
      </c>
      <c r="P32" s="537">
        <v>31915.7</v>
      </c>
      <c r="Q32" s="537">
        <f>532.6+2026+1990.5+3018.648+4891.1+632.7</f>
        <v>13091.548000000003</v>
      </c>
      <c r="R32" s="537">
        <f t="shared" si="2"/>
        <v>226380.44800000006</v>
      </c>
      <c r="S32" s="555" t="s">
        <v>1208</v>
      </c>
    </row>
    <row r="33" spans="1:19" s="315" customFormat="1" ht="11.1" hidden="1" customHeight="1">
      <c r="A33" s="759" t="s">
        <v>1217</v>
      </c>
      <c r="B33" s="759"/>
      <c r="C33" s="43">
        <v>39284.5</v>
      </c>
      <c r="D33" s="43">
        <v>15586</v>
      </c>
      <c r="E33" s="43">
        <v>3725</v>
      </c>
      <c r="F33" s="43">
        <v>9426.7999999999993</v>
      </c>
      <c r="G33" s="43">
        <v>20981.9</v>
      </c>
      <c r="H33" s="43">
        <v>29645.8</v>
      </c>
      <c r="I33" s="43">
        <v>70.7</v>
      </c>
      <c r="J33" s="43">
        <v>7995.9</v>
      </c>
      <c r="K33" s="43">
        <v>31731.1</v>
      </c>
      <c r="L33" s="43">
        <v>49.4</v>
      </c>
      <c r="M33" s="43">
        <v>945.8</v>
      </c>
      <c r="N33" s="43">
        <v>14440.2</v>
      </c>
      <c r="O33" s="43">
        <v>10959.4</v>
      </c>
      <c r="P33" s="43">
        <v>39039.5</v>
      </c>
      <c r="Q33" s="43">
        <f>452.2+2346.9+1916.2+2652.132+5320.5+608.4</f>
        <v>13296.332</v>
      </c>
      <c r="R33" s="43">
        <f t="shared" si="2"/>
        <v>237178.33199999999</v>
      </c>
      <c r="S33" s="809" t="s">
        <v>1217</v>
      </c>
    </row>
    <row r="34" spans="1:19" s="315" customFormat="1" ht="11.1" hidden="1" customHeight="1">
      <c r="A34" s="1031" t="s">
        <v>1218</v>
      </c>
      <c r="B34" s="1031"/>
      <c r="C34" s="537">
        <v>39017.300000000003</v>
      </c>
      <c r="D34" s="537">
        <v>14724.9</v>
      </c>
      <c r="E34" s="537">
        <v>3461.3</v>
      </c>
      <c r="F34" s="537">
        <v>9456.1</v>
      </c>
      <c r="G34" s="537">
        <v>18768.8</v>
      </c>
      <c r="H34" s="537">
        <v>29324</v>
      </c>
      <c r="I34" s="537">
        <v>66.2</v>
      </c>
      <c r="J34" s="537">
        <v>8085.9</v>
      </c>
      <c r="K34" s="537">
        <v>28895.1</v>
      </c>
      <c r="L34" s="537">
        <v>52.6</v>
      </c>
      <c r="M34" s="537">
        <v>1002.3</v>
      </c>
      <c r="N34" s="537">
        <v>15323.7</v>
      </c>
      <c r="O34" s="537">
        <v>10729.7</v>
      </c>
      <c r="P34" s="537">
        <v>38642</v>
      </c>
      <c r="Q34" s="537">
        <f>437.1+2017+1888.6+2621.411+4841.8+620.6</f>
        <v>12426.511</v>
      </c>
      <c r="R34" s="537">
        <f t="shared" si="2"/>
        <v>229976.41100000002</v>
      </c>
      <c r="S34" s="555" t="s">
        <v>1218</v>
      </c>
    </row>
    <row r="35" spans="1:19" s="315" customFormat="1" ht="11.1" hidden="1" customHeight="1">
      <c r="A35" s="1050" t="s">
        <v>1209</v>
      </c>
      <c r="B35" s="1050"/>
      <c r="C35" s="483">
        <v>39281.1</v>
      </c>
      <c r="D35" s="483">
        <v>15318.1</v>
      </c>
      <c r="E35" s="483">
        <v>3431.1</v>
      </c>
      <c r="F35" s="483">
        <v>9860.7000000000007</v>
      </c>
      <c r="G35" s="483">
        <v>18418.5</v>
      </c>
      <c r="H35" s="483">
        <v>29365.5</v>
      </c>
      <c r="I35" s="483">
        <v>66.900000000000006</v>
      </c>
      <c r="J35" s="483">
        <v>8245.7999999999993</v>
      </c>
      <c r="K35" s="483">
        <v>30676.799999999999</v>
      </c>
      <c r="L35" s="483">
        <v>50.9</v>
      </c>
      <c r="M35" s="483">
        <v>1002.3</v>
      </c>
      <c r="N35" s="483">
        <v>15672.4</v>
      </c>
      <c r="O35" s="483">
        <v>9972.4</v>
      </c>
      <c r="P35" s="483">
        <v>43364.9</v>
      </c>
      <c r="Q35" s="483">
        <f>437.2+1981.1+1888.3+3168.601+5805.9+617.8</f>
        <v>13898.900999999998</v>
      </c>
      <c r="R35" s="483">
        <f t="shared" si="2"/>
        <v>238626.30099999998</v>
      </c>
      <c r="S35" s="1033" t="s">
        <v>1209</v>
      </c>
    </row>
    <row r="36" spans="1:19" s="315" customFormat="1" ht="11.1" customHeight="1">
      <c r="A36" s="1051" t="s">
        <v>2376</v>
      </c>
      <c r="B36" s="1051"/>
      <c r="C36" s="641">
        <f>C48</f>
        <v>36607.300000000003</v>
      </c>
      <c r="D36" s="641">
        <f t="shared" ref="D36:R36" si="3">D48</f>
        <v>15119.2</v>
      </c>
      <c r="E36" s="641">
        <f t="shared" si="3"/>
        <v>2884.8</v>
      </c>
      <c r="F36" s="641">
        <f t="shared" si="3"/>
        <v>13566.4</v>
      </c>
      <c r="G36" s="641">
        <f t="shared" si="3"/>
        <v>23673.8</v>
      </c>
      <c r="H36" s="641">
        <f t="shared" si="3"/>
        <v>38616.1</v>
      </c>
      <c r="I36" s="641">
        <f t="shared" si="3"/>
        <v>71.099999999999994</v>
      </c>
      <c r="J36" s="641">
        <f t="shared" si="3"/>
        <v>9181.1</v>
      </c>
      <c r="K36" s="641">
        <f t="shared" si="3"/>
        <v>38646.1</v>
      </c>
      <c r="L36" s="641">
        <f t="shared" si="3"/>
        <v>256.60000000000002</v>
      </c>
      <c r="M36" s="641">
        <f t="shared" si="3"/>
        <v>2095.3000000000002</v>
      </c>
      <c r="N36" s="641">
        <f t="shared" si="3"/>
        <v>19413.8</v>
      </c>
      <c r="O36" s="641">
        <f t="shared" si="3"/>
        <v>7528.3</v>
      </c>
      <c r="P36" s="641">
        <f t="shared" si="3"/>
        <v>46505.8</v>
      </c>
      <c r="Q36" s="641">
        <f t="shared" si="3"/>
        <v>16021.86</v>
      </c>
      <c r="R36" s="641">
        <f t="shared" si="3"/>
        <v>270187.56</v>
      </c>
      <c r="S36" s="1052" t="s">
        <v>2376</v>
      </c>
    </row>
    <row r="37" spans="1:19" s="315" customFormat="1" ht="11.1" customHeight="1">
      <c r="A37" s="1050" t="s">
        <v>1211</v>
      </c>
      <c r="B37" s="1050"/>
      <c r="C37" s="483">
        <v>38956.5</v>
      </c>
      <c r="D37" s="483">
        <v>14770.3</v>
      </c>
      <c r="E37" s="483">
        <v>3279.7</v>
      </c>
      <c r="F37" s="483">
        <v>9648.2000000000007</v>
      </c>
      <c r="G37" s="483">
        <v>19315.099999999999</v>
      </c>
      <c r="H37" s="483">
        <v>30065.3</v>
      </c>
      <c r="I37" s="483">
        <v>64.599999999999994</v>
      </c>
      <c r="J37" s="483">
        <v>8138.5</v>
      </c>
      <c r="K37" s="483">
        <v>29673.7</v>
      </c>
      <c r="L37" s="483">
        <v>45.8</v>
      </c>
      <c r="M37" s="483">
        <v>1026.9000000000001</v>
      </c>
      <c r="N37" s="483">
        <v>15875.8</v>
      </c>
      <c r="O37" s="483">
        <v>9565.7999999999993</v>
      </c>
      <c r="P37" s="483">
        <v>44236.7</v>
      </c>
      <c r="Q37" s="483">
        <f>430.9+1945.5+1783.2+3077.841+5775.5+632.6</f>
        <v>13645.541000000001</v>
      </c>
      <c r="R37" s="483">
        <f t="shared" si="2"/>
        <v>238308.44099999996</v>
      </c>
      <c r="S37" s="1033" t="s">
        <v>1211</v>
      </c>
    </row>
    <row r="38" spans="1:19" s="315" customFormat="1" ht="11.1" customHeight="1">
      <c r="A38" s="1071" t="s">
        <v>1212</v>
      </c>
      <c r="B38" s="1071"/>
      <c r="C38" s="531">
        <v>36831.4</v>
      </c>
      <c r="D38" s="531">
        <v>14545.8</v>
      </c>
      <c r="E38" s="531">
        <v>2971.9</v>
      </c>
      <c r="F38" s="531">
        <v>10512.4</v>
      </c>
      <c r="G38" s="531">
        <v>20916.400000000001</v>
      </c>
      <c r="H38" s="531">
        <v>32024.3</v>
      </c>
      <c r="I38" s="531">
        <v>65.3</v>
      </c>
      <c r="J38" s="531">
        <v>9239.1</v>
      </c>
      <c r="K38" s="531">
        <v>29941.8</v>
      </c>
      <c r="L38" s="531">
        <v>273.2</v>
      </c>
      <c r="M38" s="531">
        <v>1102.3</v>
      </c>
      <c r="N38" s="531">
        <v>18152.5</v>
      </c>
      <c r="O38" s="531">
        <v>9252</v>
      </c>
      <c r="P38" s="531">
        <v>45857.5</v>
      </c>
      <c r="Q38" s="531">
        <f>516.4+2117.9+1873.1+3088.91+6357.8+635.1</f>
        <v>14589.210000000001</v>
      </c>
      <c r="R38" s="531">
        <f t="shared" si="2"/>
        <v>246275.11</v>
      </c>
      <c r="S38" s="1072" t="s">
        <v>1212</v>
      </c>
    </row>
    <row r="39" spans="1:19" s="315" customFormat="1" ht="11.1" customHeight="1">
      <c r="A39" s="1050" t="s">
        <v>1206</v>
      </c>
      <c r="B39" s="1050"/>
      <c r="C39" s="483">
        <v>40538.300000000003</v>
      </c>
      <c r="D39" s="483">
        <v>15216.6</v>
      </c>
      <c r="E39" s="483">
        <v>2921</v>
      </c>
      <c r="F39" s="483">
        <v>12309.7</v>
      </c>
      <c r="G39" s="483">
        <v>21621.5</v>
      </c>
      <c r="H39" s="483">
        <v>35130.400000000001</v>
      </c>
      <c r="I39" s="483">
        <v>65.3</v>
      </c>
      <c r="J39" s="483">
        <v>9101.7999999999993</v>
      </c>
      <c r="K39" s="483">
        <v>34489.599999999999</v>
      </c>
      <c r="L39" s="483">
        <v>204.3</v>
      </c>
      <c r="M39" s="483">
        <v>1793.2</v>
      </c>
      <c r="N39" s="483">
        <v>22092.3</v>
      </c>
      <c r="O39" s="483">
        <v>10653.5</v>
      </c>
      <c r="P39" s="483">
        <v>53776.2</v>
      </c>
      <c r="Q39" s="483">
        <f>6539.9+3052.564+2674.8+2310.9+571.8+646.9</f>
        <v>15796.863999999998</v>
      </c>
      <c r="R39" s="483">
        <f t="shared" si="2"/>
        <v>275710.56400000001</v>
      </c>
      <c r="S39" s="1033" t="s">
        <v>1206</v>
      </c>
    </row>
    <row r="40" spans="1:19" s="315" customFormat="1" ht="11.1" customHeight="1">
      <c r="A40" s="1071" t="s">
        <v>1213</v>
      </c>
      <c r="B40" s="1071"/>
      <c r="C40" s="531">
        <v>42661.4</v>
      </c>
      <c r="D40" s="531">
        <v>15838.9</v>
      </c>
      <c r="E40" s="531">
        <v>3165.2</v>
      </c>
      <c r="F40" s="531">
        <v>11880</v>
      </c>
      <c r="G40" s="531">
        <v>21467.3</v>
      </c>
      <c r="H40" s="531">
        <v>37836.400000000001</v>
      </c>
      <c r="I40" s="531">
        <v>68.599999999999994</v>
      </c>
      <c r="J40" s="531">
        <v>9278.9</v>
      </c>
      <c r="K40" s="531">
        <v>35813.1</v>
      </c>
      <c r="L40" s="531">
        <v>262.7</v>
      </c>
      <c r="M40" s="531">
        <v>1972.1</v>
      </c>
      <c r="N40" s="531">
        <v>21697.1</v>
      </c>
      <c r="O40" s="531">
        <v>10570</v>
      </c>
      <c r="P40" s="531">
        <v>52729</v>
      </c>
      <c r="Q40" s="531">
        <f>574.4+2520.2+2551.1+3012.062+6688+630.5</f>
        <v>15976.261999999999</v>
      </c>
      <c r="R40" s="531">
        <f t="shared" si="2"/>
        <v>281216.96200000006</v>
      </c>
      <c r="S40" s="1072" t="s">
        <v>1213</v>
      </c>
    </row>
    <row r="41" spans="1:19" s="315" customFormat="1" ht="11.1" customHeight="1">
      <c r="A41" s="1050" t="s">
        <v>1214</v>
      </c>
      <c r="B41" s="1050"/>
      <c r="C41" s="483">
        <v>40743.599999999999</v>
      </c>
      <c r="D41" s="483">
        <v>15018.2</v>
      </c>
      <c r="E41" s="483">
        <v>2925.4</v>
      </c>
      <c r="F41" s="483">
        <v>11525.3</v>
      </c>
      <c r="G41" s="483">
        <v>20800.7</v>
      </c>
      <c r="H41" s="483">
        <v>33472.699999999997</v>
      </c>
      <c r="I41" s="483">
        <v>94.2</v>
      </c>
      <c r="J41" s="483">
        <v>8379.5</v>
      </c>
      <c r="K41" s="483">
        <v>33096.400000000001</v>
      </c>
      <c r="L41" s="483">
        <v>208.5</v>
      </c>
      <c r="M41" s="483">
        <v>2085.4</v>
      </c>
      <c r="N41" s="483">
        <v>18151.599999999999</v>
      </c>
      <c r="O41" s="483">
        <v>9532.7999999999993</v>
      </c>
      <c r="P41" s="483">
        <v>44863</v>
      </c>
      <c r="Q41" s="483">
        <f>512.3+2285.4+2227.5+2811.805+6622.4+629.4</f>
        <v>15088.804999999998</v>
      </c>
      <c r="R41" s="483">
        <f t="shared" si="2"/>
        <v>255986.10499999995</v>
      </c>
      <c r="S41" s="1033" t="s">
        <v>1214</v>
      </c>
    </row>
    <row r="42" spans="1:19" s="315" customFormat="1" ht="11.1" customHeight="1">
      <c r="A42" s="1071" t="s">
        <v>1207</v>
      </c>
      <c r="B42" s="1071"/>
      <c r="C42" s="531">
        <v>41375.5</v>
      </c>
      <c r="D42" s="531">
        <v>17960.400000000001</v>
      </c>
      <c r="E42" s="531">
        <v>3033.4</v>
      </c>
      <c r="F42" s="531">
        <v>11497.9</v>
      </c>
      <c r="G42" s="531">
        <v>21277.7</v>
      </c>
      <c r="H42" s="531">
        <v>32937.699999999997</v>
      </c>
      <c r="I42" s="531">
        <v>88</v>
      </c>
      <c r="J42" s="531">
        <v>9046.9</v>
      </c>
      <c r="K42" s="531">
        <v>33625.1</v>
      </c>
      <c r="L42" s="531">
        <v>219.9</v>
      </c>
      <c r="M42" s="531">
        <v>2299.1999999999998</v>
      </c>
      <c r="N42" s="531">
        <v>19916.599999999999</v>
      </c>
      <c r="O42" s="531">
        <v>9797.1</v>
      </c>
      <c r="P42" s="531">
        <v>50616.9</v>
      </c>
      <c r="Q42" s="531">
        <f>582.3+2361.9+2389.4+2851.5+6933.4+634.2</f>
        <v>15752.7</v>
      </c>
      <c r="R42" s="531">
        <f t="shared" si="2"/>
        <v>269445</v>
      </c>
      <c r="S42" s="1072" t="s">
        <v>1207</v>
      </c>
    </row>
    <row r="43" spans="1:19" s="315" customFormat="1" ht="11.1" customHeight="1">
      <c r="A43" s="1050" t="s">
        <v>1215</v>
      </c>
      <c r="B43" s="1050"/>
      <c r="C43" s="483">
        <v>41346.300000000003</v>
      </c>
      <c r="D43" s="483">
        <v>17398.5</v>
      </c>
      <c r="E43" s="483">
        <v>2884.8</v>
      </c>
      <c r="F43" s="483">
        <v>10656.8</v>
      </c>
      <c r="G43" s="483">
        <v>23050.1</v>
      </c>
      <c r="H43" s="483">
        <v>32119.7</v>
      </c>
      <c r="I43" s="483">
        <v>80.3</v>
      </c>
      <c r="J43" s="483">
        <v>9166.6</v>
      </c>
      <c r="K43" s="483">
        <v>32890.300000000003</v>
      </c>
      <c r="L43" s="483">
        <v>199.6</v>
      </c>
      <c r="M43" s="483">
        <v>1986.9</v>
      </c>
      <c r="N43" s="483">
        <v>19842.400000000001</v>
      </c>
      <c r="O43" s="483">
        <v>9087.1</v>
      </c>
      <c r="P43" s="483">
        <v>46102.400000000001</v>
      </c>
      <c r="Q43" s="483">
        <f>585+2366.7+2243.5+2696.184+6632+640.1</f>
        <v>15163.484</v>
      </c>
      <c r="R43" s="483">
        <f t="shared" si="2"/>
        <v>261975.28400000001</v>
      </c>
      <c r="S43" s="1033" t="s">
        <v>1215</v>
      </c>
    </row>
    <row r="44" spans="1:19" s="315" customFormat="1" ht="11.1" customHeight="1">
      <c r="A44" s="1071" t="s">
        <v>1216</v>
      </c>
      <c r="B44" s="1071"/>
      <c r="C44" s="531">
        <v>41210.6</v>
      </c>
      <c r="D44" s="531">
        <v>17422.3</v>
      </c>
      <c r="E44" s="531">
        <v>2842.2</v>
      </c>
      <c r="F44" s="531">
        <v>11070.2</v>
      </c>
      <c r="G44" s="531">
        <v>23735</v>
      </c>
      <c r="H44" s="531">
        <v>32740.799999999999</v>
      </c>
      <c r="I44" s="531">
        <v>74.900000000000006</v>
      </c>
      <c r="J44" s="531">
        <v>8943.2000000000007</v>
      </c>
      <c r="K44" s="531">
        <v>35829</v>
      </c>
      <c r="L44" s="531">
        <v>198</v>
      </c>
      <c r="M44" s="531">
        <v>1937.3</v>
      </c>
      <c r="N44" s="531">
        <v>18892.099999999999</v>
      </c>
      <c r="O44" s="531">
        <v>9262.2000000000007</v>
      </c>
      <c r="P44" s="531">
        <v>47326.400000000001</v>
      </c>
      <c r="Q44" s="531">
        <f>602.8+2591.9+2244.8+2638.557+6918+635.8</f>
        <v>15631.857</v>
      </c>
      <c r="R44" s="531">
        <f t="shared" si="2"/>
        <v>267116.05699999997</v>
      </c>
      <c r="S44" s="1072" t="s">
        <v>1216</v>
      </c>
    </row>
    <row r="45" spans="1:19" s="315" customFormat="1" ht="11.1" customHeight="1">
      <c r="A45" s="1050" t="s">
        <v>1208</v>
      </c>
      <c r="B45" s="1050"/>
      <c r="C45" s="483">
        <v>35255.9</v>
      </c>
      <c r="D45" s="483">
        <v>15861.1</v>
      </c>
      <c r="E45" s="483">
        <v>2716.4</v>
      </c>
      <c r="F45" s="483">
        <v>10646.8</v>
      </c>
      <c r="G45" s="483">
        <v>24159.5</v>
      </c>
      <c r="H45" s="483">
        <v>32783.9</v>
      </c>
      <c r="I45" s="483">
        <v>74.2</v>
      </c>
      <c r="J45" s="483">
        <v>8809.2999999999993</v>
      </c>
      <c r="K45" s="483">
        <v>37010.6</v>
      </c>
      <c r="L45" s="483">
        <v>179.6</v>
      </c>
      <c r="M45" s="483">
        <v>1859.5</v>
      </c>
      <c r="N45" s="483">
        <v>18254.599999999999</v>
      </c>
      <c r="O45" s="483">
        <v>8844.6</v>
      </c>
      <c r="P45" s="483">
        <v>50195.199999999997</v>
      </c>
      <c r="Q45" s="483">
        <f>598.4+2518.2+2137.8+2269.201+7071.1+629.9</f>
        <v>15224.601000000001</v>
      </c>
      <c r="R45" s="483">
        <f t="shared" si="2"/>
        <v>261875.80100000001</v>
      </c>
      <c r="S45" s="1033" t="s">
        <v>1208</v>
      </c>
    </row>
    <row r="46" spans="1:19" s="315" customFormat="1" ht="11.1" customHeight="1">
      <c r="A46" s="1071" t="s">
        <v>1217</v>
      </c>
      <c r="B46" s="1071"/>
      <c r="C46" s="531">
        <v>32080.1</v>
      </c>
      <c r="D46" s="531">
        <v>12463</v>
      </c>
      <c r="E46" s="531">
        <v>2465.9</v>
      </c>
      <c r="F46" s="531">
        <v>10432.4</v>
      </c>
      <c r="G46" s="531">
        <v>23481.599999999999</v>
      </c>
      <c r="H46" s="531">
        <v>35004.5</v>
      </c>
      <c r="I46" s="531">
        <v>66.599999999999994</v>
      </c>
      <c r="J46" s="531">
        <v>7839.4</v>
      </c>
      <c r="K46" s="531">
        <v>33197.300000000003</v>
      </c>
      <c r="L46" s="531">
        <v>138.80000000000001</v>
      </c>
      <c r="M46" s="531">
        <v>1746.7</v>
      </c>
      <c r="N46" s="531">
        <v>17151.5</v>
      </c>
      <c r="O46" s="531">
        <v>6867.1</v>
      </c>
      <c r="P46" s="531">
        <v>45407.7</v>
      </c>
      <c r="Q46" s="531">
        <f>467.1+2126.2+2194.6+1944.277+6109.9+582.9</f>
        <v>13424.976999999999</v>
      </c>
      <c r="R46" s="531">
        <f t="shared" si="2"/>
        <v>241767.57699999999</v>
      </c>
      <c r="S46" s="1072" t="s">
        <v>1217</v>
      </c>
    </row>
    <row r="47" spans="1:19" s="843" customFormat="1" ht="11.1" customHeight="1">
      <c r="A47" s="1225" t="s">
        <v>1218</v>
      </c>
      <c r="B47" s="1225"/>
      <c r="C47" s="1223">
        <v>36040.400000000001</v>
      </c>
      <c r="D47" s="1223">
        <v>14355.4</v>
      </c>
      <c r="E47" s="1223">
        <v>2762.2</v>
      </c>
      <c r="F47" s="1223">
        <v>13368.7</v>
      </c>
      <c r="G47" s="1223">
        <v>22304.2</v>
      </c>
      <c r="H47" s="1223">
        <v>39602</v>
      </c>
      <c r="I47" s="1223">
        <v>68.7</v>
      </c>
      <c r="J47" s="1223">
        <v>8378.9</v>
      </c>
      <c r="K47" s="1223">
        <v>35487.5</v>
      </c>
      <c r="L47" s="1223">
        <v>179.9</v>
      </c>
      <c r="M47" s="1223">
        <v>2313.1</v>
      </c>
      <c r="N47" s="1223">
        <v>18989.7</v>
      </c>
      <c r="O47" s="1223">
        <v>7676.7</v>
      </c>
      <c r="P47" s="1223">
        <v>46101.8</v>
      </c>
      <c r="Q47" s="1223">
        <f>601.8+2167.8+3041.6+2805.3+6898.2+583.95</f>
        <v>16098.650000000001</v>
      </c>
      <c r="R47" s="1223">
        <f t="shared" si="2"/>
        <v>263727.85000000003</v>
      </c>
      <c r="S47" s="1222" t="s">
        <v>1218</v>
      </c>
    </row>
    <row r="48" spans="1:19" s="843" customFormat="1" ht="11.1" customHeight="1">
      <c r="A48" s="1071" t="s">
        <v>1209</v>
      </c>
      <c r="B48" s="1071"/>
      <c r="C48" s="531">
        <v>36607.300000000003</v>
      </c>
      <c r="D48" s="531">
        <v>15119.2</v>
      </c>
      <c r="E48" s="531">
        <v>2884.8</v>
      </c>
      <c r="F48" s="531">
        <v>13566.4</v>
      </c>
      <c r="G48" s="531">
        <v>23673.8</v>
      </c>
      <c r="H48" s="531">
        <v>38616.1</v>
      </c>
      <c r="I48" s="531">
        <v>71.099999999999994</v>
      </c>
      <c r="J48" s="531">
        <v>9181.1</v>
      </c>
      <c r="K48" s="531">
        <v>38646.1</v>
      </c>
      <c r="L48" s="531">
        <v>256.60000000000002</v>
      </c>
      <c r="M48" s="531">
        <v>2095.3000000000002</v>
      </c>
      <c r="N48" s="531">
        <v>19413.8</v>
      </c>
      <c r="O48" s="531">
        <v>7528.3</v>
      </c>
      <c r="P48" s="531">
        <v>46505.8</v>
      </c>
      <c r="Q48" s="531">
        <f>547.8+2327.6+2832.5+2530.34+7194.42+589.2</f>
        <v>16021.86</v>
      </c>
      <c r="R48" s="531">
        <f t="shared" si="2"/>
        <v>270187.56</v>
      </c>
      <c r="S48" s="1072" t="s">
        <v>1209</v>
      </c>
    </row>
    <row r="49" spans="1:19" s="843" customFormat="1" ht="11.45" customHeight="1">
      <c r="A49" s="1258" t="s">
        <v>2608</v>
      </c>
      <c r="B49" s="1050"/>
      <c r="C49" s="659">
        <f>C61</f>
        <v>39555.603000000003</v>
      </c>
      <c r="D49" s="659">
        <f t="shared" ref="D49:R49" si="4">D61</f>
        <v>14567.243</v>
      </c>
      <c r="E49" s="659">
        <f t="shared" si="4"/>
        <v>3028.4430000000002</v>
      </c>
      <c r="F49" s="659">
        <f t="shared" si="4"/>
        <v>15529.823</v>
      </c>
      <c r="G49" s="659">
        <f t="shared" si="4"/>
        <v>24410.638999999999</v>
      </c>
      <c r="H49" s="659">
        <f t="shared" si="4"/>
        <v>35133.678</v>
      </c>
      <c r="I49" s="659">
        <f t="shared" si="4"/>
        <v>79.346999999999994</v>
      </c>
      <c r="J49" s="659">
        <f t="shared" si="4"/>
        <v>8184.8909999999996</v>
      </c>
      <c r="K49" s="659">
        <f t="shared" si="4"/>
        <v>43424.767999999996</v>
      </c>
      <c r="L49" s="659">
        <f t="shared" si="4"/>
        <v>150.286</v>
      </c>
      <c r="M49" s="659">
        <f t="shared" si="4"/>
        <v>1834.0039999999999</v>
      </c>
      <c r="N49" s="659">
        <f t="shared" si="4"/>
        <v>14872.710999999999</v>
      </c>
      <c r="O49" s="659">
        <f t="shared" si="4"/>
        <v>7141.9579999999996</v>
      </c>
      <c r="P49" s="659">
        <f t="shared" si="4"/>
        <v>36209.4</v>
      </c>
      <c r="Q49" s="659">
        <f t="shared" si="4"/>
        <v>17324.168000000005</v>
      </c>
      <c r="R49" s="659">
        <f t="shared" si="4"/>
        <v>261446.962</v>
      </c>
      <c r="S49" s="1105" t="s">
        <v>2608</v>
      </c>
    </row>
    <row r="50" spans="1:19" s="843" customFormat="1" ht="11.45" customHeight="1">
      <c r="A50" s="1071" t="s">
        <v>1211</v>
      </c>
      <c r="B50" s="1071"/>
      <c r="C50" s="531">
        <v>37812.949999999997</v>
      </c>
      <c r="D50" s="531">
        <v>15852.44</v>
      </c>
      <c r="E50" s="531">
        <v>3206.52</v>
      </c>
      <c r="F50" s="531">
        <v>14796.7</v>
      </c>
      <c r="G50" s="531">
        <v>24266.43</v>
      </c>
      <c r="H50" s="531">
        <v>40657.599999999999</v>
      </c>
      <c r="I50" s="531">
        <v>76.7</v>
      </c>
      <c r="J50" s="531">
        <v>9498.15</v>
      </c>
      <c r="K50" s="531">
        <v>41614.6</v>
      </c>
      <c r="L50" s="531">
        <v>244.7</v>
      </c>
      <c r="M50" s="531">
        <v>2007.1</v>
      </c>
      <c r="N50" s="531">
        <v>20922.3</v>
      </c>
      <c r="O50" s="531">
        <v>7500.84</v>
      </c>
      <c r="P50" s="531">
        <v>46673.7</v>
      </c>
      <c r="Q50" s="531">
        <f>609.3+2489.69+7739+557+2425.4+2999.41</f>
        <v>16819.8</v>
      </c>
      <c r="R50" s="531">
        <f t="shared" ref="R50:R55" si="5">SUM(C50:Q50)</f>
        <v>281950.53000000003</v>
      </c>
      <c r="S50" s="1072" t="s">
        <v>1211</v>
      </c>
    </row>
    <row r="51" spans="1:19" s="843" customFormat="1" ht="11.45" customHeight="1">
      <c r="A51" s="1050" t="s">
        <v>1212</v>
      </c>
      <c r="B51" s="1050"/>
      <c r="C51" s="483">
        <v>39823.83</v>
      </c>
      <c r="D51" s="483">
        <v>16204.85</v>
      </c>
      <c r="E51" s="483">
        <v>3096</v>
      </c>
      <c r="F51" s="483">
        <v>14680.32</v>
      </c>
      <c r="G51" s="483">
        <v>24609.15</v>
      </c>
      <c r="H51" s="483">
        <v>39474.94</v>
      </c>
      <c r="I51" s="483">
        <v>103.58</v>
      </c>
      <c r="J51" s="483">
        <v>9377.7999999999993</v>
      </c>
      <c r="K51" s="483">
        <v>39824.61</v>
      </c>
      <c r="L51" s="483">
        <v>222.21</v>
      </c>
      <c r="M51" s="483">
        <v>1982.1</v>
      </c>
      <c r="N51" s="483">
        <v>19180.27</v>
      </c>
      <c r="O51" s="483">
        <v>7456.23</v>
      </c>
      <c r="P51" s="483">
        <v>44657.42</v>
      </c>
      <c r="Q51" s="483">
        <f>2781.53+2502.74+555.47+2355.9+8113.81+604.5</f>
        <v>16913.95</v>
      </c>
      <c r="R51" s="483">
        <f t="shared" si="5"/>
        <v>277607.25999999995</v>
      </c>
      <c r="S51" s="1033" t="s">
        <v>1212</v>
      </c>
    </row>
    <row r="52" spans="1:19" s="843" customFormat="1" ht="11.45" customHeight="1">
      <c r="A52" s="1071" t="s">
        <v>1206</v>
      </c>
      <c r="B52" s="1071"/>
      <c r="C52" s="531">
        <v>41273.919999999998</v>
      </c>
      <c r="D52" s="531">
        <v>16964.09</v>
      </c>
      <c r="E52" s="531">
        <v>3011.36</v>
      </c>
      <c r="F52" s="531">
        <v>15682.95</v>
      </c>
      <c r="G52" s="531">
        <v>24357.67</v>
      </c>
      <c r="H52" s="531">
        <v>39506.269999999997</v>
      </c>
      <c r="I52" s="531">
        <v>100.31</v>
      </c>
      <c r="J52" s="531">
        <v>9308.67</v>
      </c>
      <c r="K52" s="531">
        <v>42868.62</v>
      </c>
      <c r="L52" s="531">
        <v>225.04</v>
      </c>
      <c r="M52" s="531">
        <v>2155.66</v>
      </c>
      <c r="N52" s="531">
        <v>19031.919999999998</v>
      </c>
      <c r="O52" s="531">
        <v>7678.81</v>
      </c>
      <c r="P52" s="531">
        <v>40198.559999999998</v>
      </c>
      <c r="Q52" s="531">
        <f>551.53+2406.58+2792.1+2563.43+8967.49+616.65</f>
        <v>17897.78</v>
      </c>
      <c r="R52" s="531">
        <f t="shared" si="5"/>
        <v>280261.63</v>
      </c>
      <c r="S52" s="1072" t="s">
        <v>1206</v>
      </c>
    </row>
    <row r="53" spans="1:19" s="843" customFormat="1" ht="11.45" customHeight="1">
      <c r="A53" s="1050" t="s">
        <v>1213</v>
      </c>
      <c r="B53" s="1050"/>
      <c r="C53" s="483">
        <v>40464.14</v>
      </c>
      <c r="D53" s="483">
        <v>15733.09</v>
      </c>
      <c r="E53" s="483">
        <v>3133.79</v>
      </c>
      <c r="F53" s="483">
        <v>14576.46</v>
      </c>
      <c r="G53" s="483">
        <v>23934.19</v>
      </c>
      <c r="H53" s="483">
        <v>37022.129999999997</v>
      </c>
      <c r="I53" s="483">
        <v>92.52</v>
      </c>
      <c r="J53" s="483">
        <v>8784.2199999999993</v>
      </c>
      <c r="K53" s="483">
        <v>40818.65</v>
      </c>
      <c r="L53" s="483">
        <v>207.84</v>
      </c>
      <c r="M53" s="483">
        <v>1834.13</v>
      </c>
      <c r="N53" s="483">
        <v>15845.32</v>
      </c>
      <c r="O53" s="483">
        <v>7287.25</v>
      </c>
      <c r="P53" s="483">
        <v>35311.51</v>
      </c>
      <c r="Q53" s="483">
        <f>2659.74+2481.29+508.93+2187.62+8174.36+595.5</f>
        <v>16607.439999999999</v>
      </c>
      <c r="R53" s="483">
        <f t="shared" si="5"/>
        <v>261652.68</v>
      </c>
      <c r="S53" s="1033" t="s">
        <v>1213</v>
      </c>
    </row>
    <row r="54" spans="1:19" s="843" customFormat="1" ht="11.45" customHeight="1">
      <c r="A54" s="1071" t="s">
        <v>1214</v>
      </c>
      <c r="B54" s="1071"/>
      <c r="C54" s="531">
        <v>41069.160000000003</v>
      </c>
      <c r="D54" s="531">
        <v>14871.82</v>
      </c>
      <c r="E54" s="531">
        <v>3043.44</v>
      </c>
      <c r="F54" s="531">
        <v>15227.58</v>
      </c>
      <c r="G54" s="531">
        <v>23010.13</v>
      </c>
      <c r="H54" s="531">
        <v>34287.019999999997</v>
      </c>
      <c r="I54" s="531">
        <v>87.69</v>
      </c>
      <c r="J54" s="531">
        <v>8350.09</v>
      </c>
      <c r="K54" s="531">
        <v>41141.949999999997</v>
      </c>
      <c r="L54" s="531">
        <v>177.73</v>
      </c>
      <c r="M54" s="531">
        <v>1977.2</v>
      </c>
      <c r="N54" s="531">
        <v>15431.64</v>
      </c>
      <c r="O54" s="531">
        <v>7251.66</v>
      </c>
      <c r="P54" s="531">
        <v>37537.449999999997</v>
      </c>
      <c r="Q54" s="531">
        <f>2610.37+2398.04+482.05+2098.8+7971.92+605.85</f>
        <v>16167.03</v>
      </c>
      <c r="R54" s="531">
        <f t="shared" si="5"/>
        <v>259631.59</v>
      </c>
      <c r="S54" s="1072" t="s">
        <v>1214</v>
      </c>
    </row>
    <row r="55" spans="1:19" s="843" customFormat="1" ht="11.45" customHeight="1">
      <c r="A55" s="1050" t="s">
        <v>1207</v>
      </c>
      <c r="B55" s="1050"/>
      <c r="C55" s="483">
        <v>41095.85</v>
      </c>
      <c r="D55" s="483">
        <v>15076.35</v>
      </c>
      <c r="E55" s="483">
        <v>3041.97</v>
      </c>
      <c r="F55" s="483">
        <v>16068.27</v>
      </c>
      <c r="G55" s="483">
        <v>24385.439999999999</v>
      </c>
      <c r="H55" s="483">
        <v>33426.69</v>
      </c>
      <c r="I55" s="483">
        <v>86.06</v>
      </c>
      <c r="J55" s="483">
        <v>8491.9</v>
      </c>
      <c r="K55" s="483">
        <v>41456.589999999997</v>
      </c>
      <c r="L55" s="483">
        <v>185.25</v>
      </c>
      <c r="M55" s="483">
        <v>2077.2800000000002</v>
      </c>
      <c r="N55" s="483">
        <v>14687.83</v>
      </c>
      <c r="O55" s="483">
        <v>8077.45</v>
      </c>
      <c r="P55" s="483">
        <v>35945.22</v>
      </c>
      <c r="Q55" s="483">
        <f>2664.43+2446.68+510.39+2233.85+8186.52+599.4</f>
        <v>16641.27</v>
      </c>
      <c r="R55" s="483">
        <f t="shared" si="5"/>
        <v>260743.41999999998</v>
      </c>
      <c r="S55" s="1033" t="s">
        <v>1207</v>
      </c>
    </row>
    <row r="56" spans="1:19" s="843" customFormat="1" ht="11.45" customHeight="1">
      <c r="A56" s="1071" t="s">
        <v>1215</v>
      </c>
      <c r="B56" s="1071"/>
      <c r="C56" s="531">
        <v>40269.620000000003</v>
      </c>
      <c r="D56" s="531">
        <v>14949.39</v>
      </c>
      <c r="E56" s="531">
        <v>3250.94</v>
      </c>
      <c r="F56" s="531">
        <v>15239.18</v>
      </c>
      <c r="G56" s="531">
        <v>25218.55</v>
      </c>
      <c r="H56" s="531">
        <v>33020.620000000003</v>
      </c>
      <c r="I56" s="531">
        <v>78.5</v>
      </c>
      <c r="J56" s="531">
        <v>8861.4</v>
      </c>
      <c r="K56" s="531">
        <v>41474.86</v>
      </c>
      <c r="L56" s="531">
        <v>199.29</v>
      </c>
      <c r="M56" s="531">
        <v>1887.01</v>
      </c>
      <c r="N56" s="531">
        <v>14135.57</v>
      </c>
      <c r="O56" s="531">
        <v>7797.23</v>
      </c>
      <c r="P56" s="531">
        <v>36355.78</v>
      </c>
      <c r="Q56" s="531">
        <f>2358.89+1156.54+2194.48+8259.96+597.56+2898.9</f>
        <v>17466.329999999998</v>
      </c>
      <c r="R56" s="531">
        <f t="shared" ref="R56:R69" si="6">SUM(C56:Q56)</f>
        <v>260204.27000000002</v>
      </c>
      <c r="S56" s="1072" t="s">
        <v>1215</v>
      </c>
    </row>
    <row r="57" spans="1:19" s="843" customFormat="1" ht="11.45" customHeight="1">
      <c r="A57" s="1050" t="s">
        <v>1216</v>
      </c>
      <c r="B57" s="1050"/>
      <c r="C57" s="741">
        <v>38911.06</v>
      </c>
      <c r="D57" s="741">
        <v>14702.07</v>
      </c>
      <c r="E57" s="1342">
        <v>3217.5</v>
      </c>
      <c r="F57" s="741">
        <v>16675.09</v>
      </c>
      <c r="G57" s="741">
        <v>23881.25</v>
      </c>
      <c r="H57" s="1342">
        <v>33171.5</v>
      </c>
      <c r="I57" s="741">
        <v>81.31</v>
      </c>
      <c r="J57" s="741">
        <v>8783.82</v>
      </c>
      <c r="K57" s="1342">
        <v>42160.2</v>
      </c>
      <c r="L57" s="741">
        <v>190.45</v>
      </c>
      <c r="M57" s="1342">
        <v>1668.6</v>
      </c>
      <c r="N57" s="741">
        <v>14613.22</v>
      </c>
      <c r="O57" s="741">
        <v>7821.82</v>
      </c>
      <c r="P57" s="741">
        <v>36353.82</v>
      </c>
      <c r="Q57" s="741">
        <f>2700.53+2286.01+926.99+2105.88+8450.07+597.99</f>
        <v>17067.47</v>
      </c>
      <c r="R57" s="741">
        <f t="shared" si="6"/>
        <v>259299.18000000002</v>
      </c>
      <c r="S57" s="1033" t="s">
        <v>1216</v>
      </c>
    </row>
    <row r="58" spans="1:19" s="843" customFormat="1" ht="10.5" customHeight="1">
      <c r="A58" s="1071" t="s">
        <v>1208</v>
      </c>
      <c r="B58" s="1071"/>
      <c r="C58" s="764">
        <v>37491.18</v>
      </c>
      <c r="D58" s="764">
        <v>14200.25</v>
      </c>
      <c r="E58" s="764">
        <v>2854.99</v>
      </c>
      <c r="F58" s="764">
        <v>15952.87</v>
      </c>
      <c r="G58" s="764">
        <v>22612.52</v>
      </c>
      <c r="H58" s="1297">
        <v>32818.89</v>
      </c>
      <c r="I58" s="764">
        <v>85.97</v>
      </c>
      <c r="J58" s="764">
        <v>8785.39</v>
      </c>
      <c r="K58" s="1297">
        <v>41045.49</v>
      </c>
      <c r="L58" s="1297">
        <v>182.9</v>
      </c>
      <c r="M58" s="1297">
        <v>1650.05</v>
      </c>
      <c r="N58" s="764">
        <v>13412.06</v>
      </c>
      <c r="O58" s="764">
        <v>7645.16</v>
      </c>
      <c r="P58" s="764">
        <v>32361.26</v>
      </c>
      <c r="Q58" s="1297">
        <f>2591.74+2173.12+986.02+2026.93+8448.03+599.96</f>
        <v>16825.8</v>
      </c>
      <c r="R58" s="764">
        <f t="shared" si="6"/>
        <v>247924.77999999997</v>
      </c>
      <c r="S58" s="1072" t="s">
        <v>1208</v>
      </c>
    </row>
    <row r="59" spans="1:19" s="843" customFormat="1" ht="10.5" customHeight="1">
      <c r="A59" s="1050" t="s">
        <v>1217</v>
      </c>
      <c r="B59" s="1050"/>
      <c r="C59" s="741">
        <v>35314.29</v>
      </c>
      <c r="D59" s="741">
        <v>13046.94</v>
      </c>
      <c r="E59" s="741">
        <v>2670.78</v>
      </c>
      <c r="F59" s="741">
        <v>14169.38</v>
      </c>
      <c r="G59" s="741">
        <v>23456.720000000001</v>
      </c>
      <c r="H59" s="1342">
        <v>34548.769999999997</v>
      </c>
      <c r="I59" s="741">
        <v>81.62</v>
      </c>
      <c r="J59" s="741">
        <v>7898.59</v>
      </c>
      <c r="K59" s="1342">
        <v>40225.360000000001</v>
      </c>
      <c r="L59" s="1342">
        <v>143.27000000000001</v>
      </c>
      <c r="M59" s="1342">
        <v>1751.55</v>
      </c>
      <c r="N59" s="741">
        <v>12337.64</v>
      </c>
      <c r="O59" s="741">
        <v>7051.36</v>
      </c>
      <c r="P59" s="741">
        <v>34940.239999999998</v>
      </c>
      <c r="Q59" s="741">
        <f>2411.74+930.41+1774.55+8447.34+576.9+2162.45</f>
        <v>16303.39</v>
      </c>
      <c r="R59" s="1342">
        <f t="shared" si="6"/>
        <v>243939.89999999997</v>
      </c>
      <c r="S59" s="1033" t="s">
        <v>1217</v>
      </c>
    </row>
    <row r="60" spans="1:19" s="843" customFormat="1" ht="10.5" customHeight="1">
      <c r="A60" s="1071" t="s">
        <v>1218</v>
      </c>
      <c r="B60" s="1071"/>
      <c r="C60" s="1297">
        <v>37566.156999999999</v>
      </c>
      <c r="D60" s="1297">
        <v>13367.321</v>
      </c>
      <c r="E60" s="1297">
        <v>2747.1210000000001</v>
      </c>
      <c r="F60" s="1297">
        <v>15208.245000000001</v>
      </c>
      <c r="G60" s="1297">
        <v>23652.178</v>
      </c>
      <c r="H60" s="1297">
        <v>35391.334000000003</v>
      </c>
      <c r="I60" s="1297">
        <v>83.766000000000005</v>
      </c>
      <c r="J60" s="1297">
        <v>8202.2610000000004</v>
      </c>
      <c r="K60" s="1297">
        <v>40021.336000000003</v>
      </c>
      <c r="L60" s="1297">
        <v>156.21799999999999</v>
      </c>
      <c r="M60" s="1297">
        <v>1928.069</v>
      </c>
      <c r="N60" s="1297">
        <v>15233.686</v>
      </c>
      <c r="O60" s="1297">
        <v>7118.826</v>
      </c>
      <c r="P60" s="1297">
        <v>36177.661</v>
      </c>
      <c r="Q60" s="1297">
        <f>575.709+8772.742+2045.547+968.309+2208.119+2500.205</f>
        <v>17070.631000000001</v>
      </c>
      <c r="R60" s="1297">
        <f t="shared" si="6"/>
        <v>253924.80999999997</v>
      </c>
      <c r="S60" s="1072" t="s">
        <v>1218</v>
      </c>
    </row>
    <row r="61" spans="1:19" s="843" customFormat="1" ht="10.5" customHeight="1">
      <c r="A61" s="1050" t="s">
        <v>1209</v>
      </c>
      <c r="B61" s="1050"/>
      <c r="C61" s="1342">
        <v>39555.603000000003</v>
      </c>
      <c r="D61" s="1342">
        <v>14567.243</v>
      </c>
      <c r="E61" s="1342">
        <v>3028.4430000000002</v>
      </c>
      <c r="F61" s="1342">
        <v>15529.823</v>
      </c>
      <c r="G61" s="1342">
        <v>24410.638999999999</v>
      </c>
      <c r="H61" s="1342">
        <v>35133.678</v>
      </c>
      <c r="I61" s="1342">
        <v>79.346999999999994</v>
      </c>
      <c r="J61" s="1342">
        <v>8184.8909999999996</v>
      </c>
      <c r="K61" s="1342">
        <v>43424.767999999996</v>
      </c>
      <c r="L61" s="1342">
        <v>150.286</v>
      </c>
      <c r="M61" s="1342">
        <v>1834.0039999999999</v>
      </c>
      <c r="N61" s="1342">
        <v>14872.710999999999</v>
      </c>
      <c r="O61" s="1342">
        <v>7141.9579999999996</v>
      </c>
      <c r="P61" s="1342">
        <v>36209.4</v>
      </c>
      <c r="Q61" s="1342">
        <f>2463.929+2276.6+948.564+2056.93+8989.118+589.027</f>
        <v>17324.168000000005</v>
      </c>
      <c r="R61" s="1342">
        <f t="shared" si="6"/>
        <v>261446.962</v>
      </c>
      <c r="S61" s="1033" t="s">
        <v>1209</v>
      </c>
    </row>
    <row r="62" spans="1:19" s="843" customFormat="1" ht="10.5" customHeight="1">
      <c r="A62" s="1051" t="s">
        <v>2809</v>
      </c>
      <c r="B62" s="1071"/>
      <c r="C62" s="1297"/>
      <c r="D62" s="1297"/>
      <c r="E62" s="1297"/>
      <c r="F62" s="1297"/>
      <c r="G62" s="1297"/>
      <c r="H62" s="1297"/>
      <c r="I62" s="1297"/>
      <c r="J62" s="1297"/>
      <c r="K62" s="1297"/>
      <c r="L62" s="1297"/>
      <c r="M62" s="1297"/>
      <c r="N62" s="1297"/>
      <c r="O62" s="1297"/>
      <c r="P62" s="1297"/>
      <c r="Q62" s="1297"/>
      <c r="R62" s="1297"/>
      <c r="S62" s="1052" t="s">
        <v>2809</v>
      </c>
    </row>
    <row r="63" spans="1:19" s="843" customFormat="1" ht="12.75" customHeight="1">
      <c r="A63" s="1050" t="s">
        <v>1211</v>
      </c>
      <c r="B63" s="1050"/>
      <c r="C63" s="1342">
        <v>41602.769999999997</v>
      </c>
      <c r="D63" s="1342">
        <v>14249.442999999999</v>
      </c>
      <c r="E63" s="1342">
        <v>3085.6770000000001</v>
      </c>
      <c r="F63" s="1342">
        <v>15887.865</v>
      </c>
      <c r="G63" s="1342">
        <v>23983.731</v>
      </c>
      <c r="H63" s="1342">
        <v>34968.375</v>
      </c>
      <c r="I63" s="1342">
        <v>99.575000000000003</v>
      </c>
      <c r="J63" s="1342">
        <v>8135.4930000000004</v>
      </c>
      <c r="K63" s="1342">
        <v>42977.13</v>
      </c>
      <c r="L63" s="1342">
        <v>168.39500000000001</v>
      </c>
      <c r="M63" s="1342">
        <v>1719.5119999999999</v>
      </c>
      <c r="N63" s="1342">
        <v>13980.825000000001</v>
      </c>
      <c r="O63" s="1342">
        <v>6993.1030000000001</v>
      </c>
      <c r="P63" s="1342">
        <v>39113.165999999997</v>
      </c>
      <c r="Q63" s="1342">
        <f>2333.974+2295.216+883.892+1886.303+8791.286+591.386</f>
        <v>16782.057000000001</v>
      </c>
      <c r="R63" s="1342">
        <f t="shared" si="6"/>
        <v>263747.11699999997</v>
      </c>
      <c r="S63" s="1033" t="s">
        <v>1211</v>
      </c>
    </row>
    <row r="64" spans="1:19" s="843" customFormat="1" ht="12.75" customHeight="1">
      <c r="A64" s="1071" t="s">
        <v>1212</v>
      </c>
      <c r="B64" s="1071"/>
      <c r="C64" s="1297">
        <v>41731.088000000003</v>
      </c>
      <c r="D64" s="1297">
        <v>14394.69</v>
      </c>
      <c r="E64" s="1297">
        <v>2976.152</v>
      </c>
      <c r="F64" s="1297">
        <v>16608.080999999998</v>
      </c>
      <c r="G64" s="1297">
        <v>22158.175999999999</v>
      </c>
      <c r="H64" s="1297">
        <v>35403.733</v>
      </c>
      <c r="I64" s="1297">
        <v>105.68899999999999</v>
      </c>
      <c r="J64" s="1297">
        <v>8311.2559999999994</v>
      </c>
      <c r="K64" s="1297">
        <v>42183.438999999998</v>
      </c>
      <c r="L64" s="1297">
        <v>165.23699999999999</v>
      </c>
      <c r="M64" s="1297">
        <v>1840.33</v>
      </c>
      <c r="N64" s="1297">
        <v>14711.217000000001</v>
      </c>
      <c r="O64" s="1297">
        <v>7018.442</v>
      </c>
      <c r="P64" s="1297">
        <v>37451.675999999999</v>
      </c>
      <c r="Q64" s="1297">
        <f>2326.452+2280.291+908.36+1872.769+588.029+8857.847</f>
        <v>16833.748</v>
      </c>
      <c r="R64" s="1297">
        <f t="shared" si="6"/>
        <v>261892.954</v>
      </c>
      <c r="S64" s="1072" t="s">
        <v>1212</v>
      </c>
    </row>
    <row r="65" spans="1:19" s="843" customFormat="1" ht="12" customHeight="1">
      <c r="A65" s="1050" t="s">
        <v>1206</v>
      </c>
      <c r="B65" s="1050"/>
      <c r="C65" s="1342">
        <v>44183.584000000003</v>
      </c>
      <c r="D65" s="1342">
        <v>15320.971</v>
      </c>
      <c r="E65" s="1342">
        <v>3118.1860000000001</v>
      </c>
      <c r="F65" s="1342">
        <v>17231.553</v>
      </c>
      <c r="G65" s="1342">
        <v>22626.963</v>
      </c>
      <c r="H65" s="1342">
        <v>36188.5</v>
      </c>
      <c r="I65" s="1342">
        <v>105.461</v>
      </c>
      <c r="J65" s="1342">
        <v>8698.6919999999991</v>
      </c>
      <c r="K65" s="1342">
        <v>42683.767999999996</v>
      </c>
      <c r="L65" s="1342">
        <v>162.547</v>
      </c>
      <c r="M65" s="1342">
        <v>1879.2239999999999</v>
      </c>
      <c r="N65" s="1342">
        <v>15129.206</v>
      </c>
      <c r="O65" s="1342">
        <v>7481.7389999999996</v>
      </c>
      <c r="P65" s="1342">
        <v>38475.923000000003</v>
      </c>
      <c r="Q65" s="1342">
        <f>2404.752+2264.627+966.719+1928.608+9358.207+598.635</f>
        <v>17521.547999999999</v>
      </c>
      <c r="R65" s="1342">
        <f t="shared" si="6"/>
        <v>270807.86499999999</v>
      </c>
      <c r="S65" s="1033" t="s">
        <v>1206</v>
      </c>
    </row>
    <row r="66" spans="1:19" s="843" customFormat="1" ht="11.25" customHeight="1">
      <c r="A66" s="1071" t="s">
        <v>1213</v>
      </c>
      <c r="B66" s="1071"/>
      <c r="C66" s="1297">
        <v>43914.542000000001</v>
      </c>
      <c r="D66" s="1297">
        <v>14233.71</v>
      </c>
      <c r="E66" s="1297">
        <v>2996.2890000000002</v>
      </c>
      <c r="F66" s="1297">
        <v>15596.311</v>
      </c>
      <c r="G66" s="1297">
        <v>22860.149000000001</v>
      </c>
      <c r="H66" s="1297">
        <v>36349.629999999997</v>
      </c>
      <c r="I66" s="1297">
        <v>104.206</v>
      </c>
      <c r="J66" s="1297">
        <v>8606.9130000000005</v>
      </c>
      <c r="K66" s="1297">
        <v>41622.756999999998</v>
      </c>
      <c r="L66" s="1297">
        <v>136.47999999999999</v>
      </c>
      <c r="M66" s="1297">
        <v>1861.9590000000001</v>
      </c>
      <c r="N66" s="1297">
        <v>14492.208000000001</v>
      </c>
      <c r="O66" s="1297">
        <v>7461.826</v>
      </c>
      <c r="P66" s="1297">
        <v>38834.432999999997</v>
      </c>
      <c r="Q66" s="1297">
        <f>2276.152+2678.19+1046.716+1831.425+9048.298+597.912</f>
        <v>17478.693000000003</v>
      </c>
      <c r="R66" s="1297">
        <f t="shared" si="6"/>
        <v>266550.10600000003</v>
      </c>
      <c r="S66" s="1072" t="s">
        <v>1213</v>
      </c>
    </row>
    <row r="67" spans="1:19" s="315" customFormat="1" ht="11.25" customHeight="1">
      <c r="A67" s="1050" t="s">
        <v>1214</v>
      </c>
      <c r="B67" s="1050"/>
      <c r="C67" s="1342">
        <v>46169.417999999998</v>
      </c>
      <c r="D67" s="1342">
        <v>15086.673000000001</v>
      </c>
      <c r="E67" s="1342">
        <v>3118.3110000000001</v>
      </c>
      <c r="F67" s="1342">
        <v>16150.496999999999</v>
      </c>
      <c r="G67" s="1342">
        <v>22840.684000000001</v>
      </c>
      <c r="H67" s="1342">
        <v>36050.911</v>
      </c>
      <c r="I67" s="1342">
        <v>98.921000000000006</v>
      </c>
      <c r="J67" s="1342">
        <v>8994.7129999999997</v>
      </c>
      <c r="K67" s="1342">
        <v>42063.870999999999</v>
      </c>
      <c r="L67" s="1342">
        <v>156.84</v>
      </c>
      <c r="M67" s="1342">
        <v>1911.5329999999999</v>
      </c>
      <c r="N67" s="1342">
        <v>14861.933999999999</v>
      </c>
      <c r="O67" s="1342">
        <v>8166.741</v>
      </c>
      <c r="P67" s="1342">
        <v>40208.44</v>
      </c>
      <c r="Q67" s="1342">
        <f>2531.071+2756.052+1121.209+1971.973+9693.453+597.811</f>
        <v>18671.569000000003</v>
      </c>
      <c r="R67" s="1342">
        <f t="shared" si="6"/>
        <v>274551.05600000004</v>
      </c>
      <c r="S67" s="1033" t="s">
        <v>1214</v>
      </c>
    </row>
    <row r="68" spans="1:19" s="315" customFormat="1" ht="11.25" customHeight="1">
      <c r="A68" s="1071" t="s">
        <v>1207</v>
      </c>
      <c r="B68" s="1071"/>
      <c r="C68" s="1297">
        <v>48406.834000000003</v>
      </c>
      <c r="D68" s="1297">
        <v>16099.031999999999</v>
      </c>
      <c r="E68" s="1297">
        <v>3507.8879999999999</v>
      </c>
      <c r="F68" s="1297">
        <v>17911.521000000001</v>
      </c>
      <c r="G68" s="1297">
        <v>23407.384999999998</v>
      </c>
      <c r="H68" s="1297">
        <v>36027.124000000003</v>
      </c>
      <c r="I68" s="1297">
        <v>98.399000000000001</v>
      </c>
      <c r="J68" s="1297">
        <v>10491.151</v>
      </c>
      <c r="K68" s="1297">
        <v>43371.247000000003</v>
      </c>
      <c r="L68" s="1297">
        <v>162.108</v>
      </c>
      <c r="M68" s="1297">
        <v>2266.3649999999998</v>
      </c>
      <c r="N68" s="1297">
        <v>15699.39</v>
      </c>
      <c r="O68" s="1297">
        <v>8455.3150000000005</v>
      </c>
      <c r="P68" s="1297">
        <v>40317.803</v>
      </c>
      <c r="Q68" s="1297">
        <f>2572.684+2689.548+1179.382+2504.057+9792.737+589.558</f>
        <v>19327.965999999997</v>
      </c>
      <c r="R68" s="1297">
        <f t="shared" si="6"/>
        <v>285549.52800000005</v>
      </c>
      <c r="S68" s="1072" t="s">
        <v>1207</v>
      </c>
    </row>
    <row r="69" spans="1:19" s="315" customFormat="1" ht="11.25" customHeight="1" thickBot="1">
      <c r="A69" s="1619" t="s">
        <v>1215</v>
      </c>
      <c r="B69" s="1619"/>
      <c r="C69" s="1620">
        <v>56937.194000000003</v>
      </c>
      <c r="D69" s="1620">
        <v>21781.723000000002</v>
      </c>
      <c r="E69" s="1620">
        <v>4016.1149999999998</v>
      </c>
      <c r="F69" s="1620">
        <v>18825.409</v>
      </c>
      <c r="G69" s="1620">
        <v>23313.752</v>
      </c>
      <c r="H69" s="1620">
        <v>39023.131000000001</v>
      </c>
      <c r="I69" s="1620">
        <v>112.499</v>
      </c>
      <c r="J69" s="1620">
        <v>10967.084000000001</v>
      </c>
      <c r="K69" s="1620">
        <v>46080.976000000002</v>
      </c>
      <c r="L69" s="1620">
        <v>153.37299999999999</v>
      </c>
      <c r="M69" s="1620">
        <v>2352.75</v>
      </c>
      <c r="N69" s="1620">
        <v>15962.299000000001</v>
      </c>
      <c r="O69" s="1620">
        <v>9116.2559999999994</v>
      </c>
      <c r="P69" s="1620">
        <v>42758.334000000003</v>
      </c>
      <c r="Q69" s="1620">
        <f>2782.571+2735.402+1199.404+2573.456+10540.371+601.891</f>
        <v>20433.094999999998</v>
      </c>
      <c r="R69" s="1620">
        <f t="shared" si="6"/>
        <v>311833.99</v>
      </c>
      <c r="S69" s="1621" t="s">
        <v>1215</v>
      </c>
    </row>
    <row r="70" spans="1:19" ht="11.1" customHeight="1">
      <c r="A70" s="86" t="s">
        <v>509</v>
      </c>
      <c r="B70" s="86" t="s">
        <v>548</v>
      </c>
      <c r="C70" s="335" t="s">
        <v>550</v>
      </c>
      <c r="D70" s="335"/>
      <c r="E70" s="335"/>
      <c r="F70" s="335"/>
      <c r="G70" s="335"/>
      <c r="H70" s="335"/>
      <c r="I70" s="21"/>
      <c r="K70" s="2040" t="s">
        <v>2648</v>
      </c>
      <c r="L70" s="2040"/>
      <c r="M70" s="2040"/>
      <c r="N70" s="2040"/>
      <c r="O70" s="2040"/>
      <c r="P70" s="2040"/>
      <c r="Q70" s="2040"/>
      <c r="R70" s="2040"/>
      <c r="S70" s="2040"/>
    </row>
    <row r="71" spans="1:19" ht="9.75" customHeight="1">
      <c r="A71" s="66"/>
      <c r="B71" s="66"/>
      <c r="C71" s="2041" t="s">
        <v>549</v>
      </c>
      <c r="D71" s="2041"/>
      <c r="E71" s="2041"/>
      <c r="F71" s="2041"/>
      <c r="G71" s="2041"/>
      <c r="H71" s="2041"/>
      <c r="I71" s="21"/>
      <c r="J71" s="21"/>
      <c r="K71" s="168" t="s">
        <v>32</v>
      </c>
      <c r="L71" s="267" t="s">
        <v>547</v>
      </c>
      <c r="M71" s="267"/>
      <c r="N71" s="267"/>
      <c r="P71" s="21"/>
      <c r="Q71" s="21"/>
      <c r="R71" s="21"/>
      <c r="S71" s="112"/>
    </row>
    <row r="72" spans="1:19" ht="9.75" customHeight="1">
      <c r="C72" s="2012" t="s">
        <v>1329</v>
      </c>
      <c r="D72" s="2012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  <c r="R72" s="135"/>
      <c r="S72" s="24"/>
    </row>
    <row r="73" spans="1:19">
      <c r="S73" s="24"/>
    </row>
    <row r="74" spans="1:19">
      <c r="R74" s="1519"/>
      <c r="S74" s="24"/>
    </row>
    <row r="75" spans="1:19">
      <c r="S75" s="24"/>
    </row>
    <row r="76" spans="1:19">
      <c r="F76" s="135"/>
      <c r="S76" s="24"/>
    </row>
    <row r="77" spans="1:19">
      <c r="S77" s="24"/>
    </row>
    <row r="78" spans="1:19">
      <c r="S78" s="24"/>
    </row>
    <row r="79" spans="1:19">
      <c r="S79" s="24"/>
    </row>
    <row r="80" spans="1:19">
      <c r="S80" s="24"/>
    </row>
    <row r="81" spans="19:19">
      <c r="S81" s="24"/>
    </row>
    <row r="82" spans="19:19">
      <c r="S82" s="24"/>
    </row>
    <row r="83" spans="19:19">
      <c r="S83" s="24"/>
    </row>
    <row r="84" spans="19:19">
      <c r="S84" s="24"/>
    </row>
    <row r="85" spans="19:19">
      <c r="S85" s="24"/>
    </row>
  </sheetData>
  <mergeCells count="10">
    <mergeCell ref="K70:S70"/>
    <mergeCell ref="C71:H71"/>
    <mergeCell ref="C72:D72"/>
    <mergeCell ref="A3:B4"/>
    <mergeCell ref="K1:Q1"/>
    <mergeCell ref="A1:J1"/>
    <mergeCell ref="R1:S1"/>
    <mergeCell ref="C3:R3"/>
    <mergeCell ref="R2:S2"/>
    <mergeCell ref="S3:S4"/>
  </mergeCells>
  <phoneticPr fontId="47" type="noConversion"/>
  <pageMargins left="0.62992125984252001" right="0.55118110236220497" top="0.511811023622047" bottom="0.31496062992126" header="0.25" footer="0"/>
  <pageSetup paperSize="512" firstPageNumber="54" orientation="portrait" useFirstPageNumber="1" r:id="rId1"/>
  <headerFooter>
    <oddFooter>&amp;C&amp;"Times New Roman,Regular"&amp;8&amp;P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BL209"/>
  <sheetViews>
    <sheetView zoomScale="120" zoomScaleNormal="120" workbookViewId="0">
      <pane xSplit="3" ySplit="3" topLeftCell="D40" activePane="bottomRight" state="frozen"/>
      <selection pane="topRight" activeCell="D1" sqref="D1"/>
      <selection pane="bottomLeft" activeCell="A4" sqref="A4"/>
      <selection pane="bottomRight" activeCell="AD41" sqref="AD41"/>
    </sheetView>
  </sheetViews>
  <sheetFormatPr defaultColWidth="9.140625" defaultRowHeight="11.25"/>
  <cols>
    <col min="1" max="1" width="2.85546875" style="10" customWidth="1"/>
    <col min="2" max="2" width="4.5703125" style="55" customWidth="1"/>
    <col min="3" max="3" width="23.7109375" style="10" customWidth="1"/>
    <col min="4" max="5" width="8.85546875" style="10" customWidth="1"/>
    <col min="6" max="6" width="9.140625" style="10" customWidth="1"/>
    <col min="7" max="7" width="10.42578125" style="55" customWidth="1"/>
    <col min="8" max="8" width="9.7109375" style="10" customWidth="1"/>
    <col min="9" max="9" width="2.85546875" style="317" customWidth="1"/>
    <col min="10" max="10" width="6" style="492" customWidth="1"/>
    <col min="11" max="11" width="23.28515625" style="317" customWidth="1"/>
    <col min="12" max="12" width="9.28515625" style="317" customWidth="1"/>
    <col min="13" max="13" width="9.85546875" style="317" customWidth="1"/>
    <col min="14" max="14" width="8.5703125" style="317" customWidth="1"/>
    <col min="15" max="15" width="9.140625" style="493" customWidth="1"/>
    <col min="16" max="16" width="9.140625" style="317" customWidth="1"/>
    <col min="17" max="17" width="3" style="317" customWidth="1"/>
    <col min="18" max="18" width="6.5703125" style="492" customWidth="1"/>
    <col min="19" max="19" width="21.5703125" style="317" customWidth="1"/>
    <col min="20" max="20" width="8.5703125" style="317" customWidth="1"/>
    <col min="21" max="21" width="9" style="317" customWidth="1"/>
    <col min="22" max="22" width="8.7109375" style="317" customWidth="1"/>
    <col min="23" max="23" width="10.28515625" style="493" customWidth="1"/>
    <col min="24" max="24" width="10.28515625" style="317" customWidth="1"/>
    <col min="25" max="25" width="2.7109375" style="317" customWidth="1"/>
    <col min="26" max="26" width="7.28515625" style="494" customWidth="1"/>
    <col min="27" max="27" width="23.5703125" style="317" customWidth="1"/>
    <col min="28" max="28" width="9.140625" style="317"/>
    <col min="29" max="29" width="8.42578125" style="317" customWidth="1"/>
    <col min="30" max="30" width="8.7109375" style="317" customWidth="1"/>
    <col min="31" max="32" width="9.140625" style="317"/>
    <col min="33" max="33" width="2.28515625" style="317" customWidth="1"/>
    <col min="34" max="34" width="6.7109375" style="494" customWidth="1"/>
    <col min="35" max="35" width="26.140625" style="317" customWidth="1"/>
    <col min="36" max="36" width="8" style="317" customWidth="1"/>
    <col min="37" max="37" width="8.7109375" style="317" customWidth="1"/>
    <col min="38" max="38" width="8.5703125" style="317" customWidth="1"/>
    <col min="39" max="40" width="9.140625" style="317"/>
    <col min="41" max="41" width="2.7109375" style="317" customWidth="1"/>
    <col min="42" max="42" width="6" style="494" customWidth="1"/>
    <col min="43" max="43" width="24.5703125" style="317" customWidth="1"/>
    <col min="44" max="44" width="7.85546875" style="317" customWidth="1"/>
    <col min="45" max="45" width="9" style="317" customWidth="1"/>
    <col min="46" max="46" width="8.7109375" style="317" customWidth="1"/>
    <col min="47" max="47" width="10.140625" style="317" customWidth="1"/>
    <col min="48" max="48" width="9.5703125" style="317" customWidth="1"/>
    <col min="49" max="49" width="2.5703125" style="317" customWidth="1"/>
    <col min="50" max="50" width="5.85546875" style="494" customWidth="1"/>
    <col min="51" max="51" width="25.140625" style="317" customWidth="1"/>
    <col min="52" max="53" width="8.7109375" style="317" customWidth="1"/>
    <col min="54" max="56" width="9.140625" style="317"/>
    <col min="57" max="57" width="2.7109375" style="317" customWidth="1"/>
    <col min="58" max="58" width="6.7109375" style="494" customWidth="1"/>
    <col min="59" max="59" width="23.7109375" style="317" customWidth="1"/>
    <col min="60" max="61" width="9" style="317" customWidth="1"/>
    <col min="62" max="62" width="8.7109375" style="317" customWidth="1"/>
    <col min="63" max="63" width="9.5703125" style="317" customWidth="1"/>
    <col min="64" max="64" width="8.85546875" style="317" customWidth="1"/>
    <col min="65" max="16384" width="9.140625" style="10"/>
  </cols>
  <sheetData>
    <row r="1" spans="1:64" s="174" customFormat="1" ht="15.75" customHeight="1">
      <c r="A1" s="2062" t="s">
        <v>1911</v>
      </c>
      <c r="B1" s="2062"/>
      <c r="C1" s="2062"/>
      <c r="D1" s="2062"/>
      <c r="E1" s="2062"/>
      <c r="F1" s="2062"/>
      <c r="G1" s="2062"/>
      <c r="H1" s="2062"/>
      <c r="I1" s="2058" t="s">
        <v>1912</v>
      </c>
      <c r="J1" s="2058"/>
      <c r="K1" s="2058"/>
      <c r="L1" s="2058"/>
      <c r="M1" s="2058"/>
      <c r="N1" s="2059" t="s">
        <v>2450</v>
      </c>
      <c r="O1" s="2059"/>
      <c r="P1" s="2059"/>
      <c r="Q1" s="473"/>
      <c r="R1" s="474"/>
      <c r="S1" s="2059" t="s">
        <v>1913</v>
      </c>
      <c r="T1" s="2059"/>
      <c r="U1" s="2059"/>
      <c r="V1" s="2059"/>
      <c r="W1" s="2059"/>
      <c r="X1" s="2059"/>
      <c r="Y1" s="2058" t="s">
        <v>1914</v>
      </c>
      <c r="Z1" s="2058"/>
      <c r="AA1" s="2058"/>
      <c r="AB1" s="2058"/>
      <c r="AC1" s="2058"/>
      <c r="AD1" s="2059" t="s">
        <v>2450</v>
      </c>
      <c r="AE1" s="2059"/>
      <c r="AF1" s="2059"/>
      <c r="AG1" s="473"/>
      <c r="AH1" s="474"/>
      <c r="AI1" s="2059" t="s">
        <v>1911</v>
      </c>
      <c r="AJ1" s="2059"/>
      <c r="AK1" s="2059"/>
      <c r="AL1" s="2059"/>
      <c r="AM1" s="2059"/>
      <c r="AN1" s="2059"/>
      <c r="AO1" s="2058" t="s">
        <v>1915</v>
      </c>
      <c r="AP1" s="2058"/>
      <c r="AQ1" s="2058"/>
      <c r="AR1" s="2058"/>
      <c r="AS1" s="2058"/>
      <c r="AT1" s="2059" t="s">
        <v>2450</v>
      </c>
      <c r="AU1" s="2059"/>
      <c r="AV1" s="2059"/>
      <c r="AW1" s="473"/>
      <c r="AX1" s="474"/>
      <c r="AY1" s="2059" t="s">
        <v>1911</v>
      </c>
      <c r="AZ1" s="2059"/>
      <c r="BA1" s="2059"/>
      <c r="BB1" s="2059"/>
      <c r="BC1" s="2059"/>
      <c r="BD1" s="2059"/>
      <c r="BE1" s="2058" t="s">
        <v>1916</v>
      </c>
      <c r="BF1" s="2058"/>
      <c r="BG1" s="2058"/>
      <c r="BH1" s="2058"/>
      <c r="BI1" s="2058"/>
      <c r="BJ1" s="2059" t="s">
        <v>2451</v>
      </c>
      <c r="BK1" s="2059"/>
      <c r="BL1" s="2059"/>
    </row>
    <row r="2" spans="1:64" s="407" customFormat="1" ht="17.25" customHeight="1">
      <c r="A2" s="1960" t="s">
        <v>1690</v>
      </c>
      <c r="B2" s="1960"/>
      <c r="C2" s="1960"/>
      <c r="D2" s="2060" t="s">
        <v>918</v>
      </c>
      <c r="E2" s="2060" t="s">
        <v>46</v>
      </c>
      <c r="F2" s="2060" t="s">
        <v>1689</v>
      </c>
      <c r="G2" s="2060" t="s">
        <v>837</v>
      </c>
      <c r="H2" s="2060"/>
      <c r="I2" s="2057" t="s">
        <v>1690</v>
      </c>
      <c r="J2" s="2057"/>
      <c r="K2" s="2057"/>
      <c r="L2" s="2056" t="s">
        <v>1751</v>
      </c>
      <c r="M2" s="2056" t="s">
        <v>44</v>
      </c>
      <c r="N2" s="2056" t="s">
        <v>1689</v>
      </c>
      <c r="O2" s="2056" t="s">
        <v>837</v>
      </c>
      <c r="P2" s="2056"/>
      <c r="Q2" s="2057" t="s">
        <v>1690</v>
      </c>
      <c r="R2" s="2057"/>
      <c r="S2" s="2057"/>
      <c r="T2" s="2056" t="s">
        <v>1691</v>
      </c>
      <c r="U2" s="2056" t="s">
        <v>44</v>
      </c>
      <c r="V2" s="2056" t="s">
        <v>1689</v>
      </c>
      <c r="W2" s="2056" t="s">
        <v>837</v>
      </c>
      <c r="X2" s="2056"/>
      <c r="Y2" s="2057" t="s">
        <v>1690</v>
      </c>
      <c r="Z2" s="2057"/>
      <c r="AA2" s="2057"/>
      <c r="AB2" s="2056" t="s">
        <v>1691</v>
      </c>
      <c r="AC2" s="2056" t="s">
        <v>44</v>
      </c>
      <c r="AD2" s="2056" t="s">
        <v>1689</v>
      </c>
      <c r="AE2" s="2056" t="s">
        <v>837</v>
      </c>
      <c r="AF2" s="2056"/>
      <c r="AG2" s="2057" t="s">
        <v>1690</v>
      </c>
      <c r="AH2" s="2057"/>
      <c r="AI2" s="2057"/>
      <c r="AJ2" s="2056" t="s">
        <v>1691</v>
      </c>
      <c r="AK2" s="2056" t="s">
        <v>44</v>
      </c>
      <c r="AL2" s="2056" t="s">
        <v>1689</v>
      </c>
      <c r="AM2" s="2056" t="s">
        <v>837</v>
      </c>
      <c r="AN2" s="2056"/>
      <c r="AO2" s="2057" t="s">
        <v>1690</v>
      </c>
      <c r="AP2" s="2057"/>
      <c r="AQ2" s="2057"/>
      <c r="AR2" s="2056" t="s">
        <v>1691</v>
      </c>
      <c r="AS2" s="2056" t="s">
        <v>44</v>
      </c>
      <c r="AT2" s="2056" t="s">
        <v>1689</v>
      </c>
      <c r="AU2" s="2056" t="s">
        <v>837</v>
      </c>
      <c r="AV2" s="2056"/>
      <c r="AW2" s="2057" t="s">
        <v>1690</v>
      </c>
      <c r="AX2" s="2057"/>
      <c r="AY2" s="2057"/>
      <c r="AZ2" s="2056" t="s">
        <v>1691</v>
      </c>
      <c r="BA2" s="2056" t="s">
        <v>44</v>
      </c>
      <c r="BB2" s="2056" t="s">
        <v>1689</v>
      </c>
      <c r="BC2" s="2056" t="s">
        <v>837</v>
      </c>
      <c r="BD2" s="2056"/>
      <c r="BE2" s="2057" t="s">
        <v>1690</v>
      </c>
      <c r="BF2" s="2057"/>
      <c r="BG2" s="2057"/>
      <c r="BH2" s="2056" t="s">
        <v>1691</v>
      </c>
      <c r="BI2" s="2056" t="s">
        <v>44</v>
      </c>
      <c r="BJ2" s="2056" t="s">
        <v>1689</v>
      </c>
      <c r="BK2" s="2056" t="s">
        <v>837</v>
      </c>
      <c r="BL2" s="2056"/>
    </row>
    <row r="3" spans="1:64" s="107" customFormat="1" ht="27.75" customHeight="1">
      <c r="A3" s="1960"/>
      <c r="B3" s="1960"/>
      <c r="C3" s="1960"/>
      <c r="D3" s="2060"/>
      <c r="E3" s="2060"/>
      <c r="F3" s="2060"/>
      <c r="G3" s="84" t="s">
        <v>838</v>
      </c>
      <c r="H3" s="84" t="s">
        <v>839</v>
      </c>
      <c r="I3" s="2057"/>
      <c r="J3" s="2057"/>
      <c r="K3" s="2057"/>
      <c r="L3" s="2056"/>
      <c r="M3" s="2056"/>
      <c r="N3" s="2056"/>
      <c r="O3" s="475" t="s">
        <v>838</v>
      </c>
      <c r="P3" s="1626" t="s">
        <v>839</v>
      </c>
      <c r="Q3" s="2057"/>
      <c r="R3" s="2057"/>
      <c r="S3" s="2057"/>
      <c r="T3" s="2056"/>
      <c r="U3" s="2056"/>
      <c r="V3" s="2056"/>
      <c r="W3" s="475" t="s">
        <v>838</v>
      </c>
      <c r="X3" s="1626" t="s">
        <v>839</v>
      </c>
      <c r="Y3" s="2057"/>
      <c r="Z3" s="2057"/>
      <c r="AA3" s="2057"/>
      <c r="AB3" s="2056"/>
      <c r="AC3" s="2056"/>
      <c r="AD3" s="2056"/>
      <c r="AE3" s="475" t="s">
        <v>838</v>
      </c>
      <c r="AF3" s="1626" t="s">
        <v>839</v>
      </c>
      <c r="AG3" s="2057"/>
      <c r="AH3" s="2057"/>
      <c r="AI3" s="2057"/>
      <c r="AJ3" s="2056"/>
      <c r="AK3" s="2056"/>
      <c r="AL3" s="2056"/>
      <c r="AM3" s="475" t="s">
        <v>838</v>
      </c>
      <c r="AN3" s="1626" t="s">
        <v>839</v>
      </c>
      <c r="AO3" s="2057"/>
      <c r="AP3" s="2057"/>
      <c r="AQ3" s="2057"/>
      <c r="AR3" s="2056"/>
      <c r="AS3" s="2056"/>
      <c r="AT3" s="2056"/>
      <c r="AU3" s="475" t="s">
        <v>838</v>
      </c>
      <c r="AV3" s="1626" t="s">
        <v>839</v>
      </c>
      <c r="AW3" s="2057"/>
      <c r="AX3" s="2057"/>
      <c r="AY3" s="2057"/>
      <c r="AZ3" s="2056"/>
      <c r="BA3" s="2056"/>
      <c r="BB3" s="2056"/>
      <c r="BC3" s="475" t="s">
        <v>838</v>
      </c>
      <c r="BD3" s="1626" t="s">
        <v>839</v>
      </c>
      <c r="BE3" s="2057"/>
      <c r="BF3" s="2057"/>
      <c r="BG3" s="2057"/>
      <c r="BH3" s="2056"/>
      <c r="BI3" s="2056"/>
      <c r="BJ3" s="2056"/>
      <c r="BK3" s="475" t="s">
        <v>838</v>
      </c>
      <c r="BL3" s="475" t="s">
        <v>839</v>
      </c>
    </row>
    <row r="4" spans="1:64" s="480" customFormat="1" ht="11.25" customHeight="1">
      <c r="A4" s="2054" t="s">
        <v>1665</v>
      </c>
      <c r="B4" s="2054"/>
      <c r="C4" s="2054"/>
      <c r="D4" s="1319"/>
      <c r="E4" s="1319"/>
      <c r="F4" s="2055"/>
      <c r="G4" s="2055"/>
      <c r="H4" s="2055"/>
      <c r="I4" s="581"/>
      <c r="J4" s="1302" t="s">
        <v>1530</v>
      </c>
      <c r="K4" s="1314" t="s">
        <v>1752</v>
      </c>
      <c r="L4" s="1305" t="s">
        <v>2377</v>
      </c>
      <c r="M4" s="531">
        <v>9.82</v>
      </c>
      <c r="N4" s="1305" t="s">
        <v>2378</v>
      </c>
      <c r="O4" s="1304" t="s">
        <v>840</v>
      </c>
      <c r="P4" s="1304" t="s">
        <v>841</v>
      </c>
      <c r="Q4" s="543"/>
      <c r="R4" s="1302" t="s">
        <v>1510</v>
      </c>
      <c r="S4" s="1309" t="s">
        <v>1753</v>
      </c>
      <c r="T4" s="1625" t="s">
        <v>54</v>
      </c>
      <c r="U4" s="579">
        <v>11.72</v>
      </c>
      <c r="V4" s="1625" t="s">
        <v>66</v>
      </c>
      <c r="W4" s="1304" t="s">
        <v>840</v>
      </c>
      <c r="X4" s="1304" t="s">
        <v>841</v>
      </c>
      <c r="Y4" s="553"/>
      <c r="Z4" s="1309" t="s">
        <v>1560</v>
      </c>
      <c r="AA4" s="1309" t="s">
        <v>1753</v>
      </c>
      <c r="AB4" s="1326" t="s">
        <v>2057</v>
      </c>
      <c r="AC4" s="579">
        <v>11.6</v>
      </c>
      <c r="AD4" s="1326" t="s">
        <v>2058</v>
      </c>
      <c r="AE4" s="1304" t="s">
        <v>840</v>
      </c>
      <c r="AF4" s="1304" t="s">
        <v>841</v>
      </c>
      <c r="AG4" s="543" t="s">
        <v>1303</v>
      </c>
      <c r="AH4" s="1307" t="s">
        <v>1500</v>
      </c>
      <c r="AI4" s="1324" t="s">
        <v>1754</v>
      </c>
      <c r="AJ4" s="1303" t="s">
        <v>1095</v>
      </c>
      <c r="AK4" s="579">
        <v>13.48</v>
      </c>
      <c r="AL4" s="1320" t="s">
        <v>1107</v>
      </c>
      <c r="AM4" s="1304" t="s">
        <v>840</v>
      </c>
      <c r="AN4" s="1304" t="s">
        <v>841</v>
      </c>
      <c r="AO4" s="604"/>
      <c r="AP4" s="1308" t="s">
        <v>1545</v>
      </c>
      <c r="AQ4" s="1313" t="s">
        <v>1754</v>
      </c>
      <c r="AR4" s="530" t="s">
        <v>2073</v>
      </c>
      <c r="AS4" s="531">
        <v>11.7</v>
      </c>
      <c r="AT4" s="530" t="s">
        <v>2074</v>
      </c>
      <c r="AU4" s="1304" t="s">
        <v>840</v>
      </c>
      <c r="AV4" s="1304" t="s">
        <v>841</v>
      </c>
      <c r="AW4" s="553"/>
      <c r="AX4" s="1312" t="s">
        <v>1502</v>
      </c>
      <c r="AY4" s="1314" t="s">
        <v>1755</v>
      </c>
      <c r="AZ4" s="576" t="s">
        <v>1114</v>
      </c>
      <c r="BA4" s="580">
        <v>13.49</v>
      </c>
      <c r="BB4" s="576" t="s">
        <v>1118</v>
      </c>
      <c r="BC4" s="1311" t="s">
        <v>840</v>
      </c>
      <c r="BD4" s="1311" t="s">
        <v>841</v>
      </c>
      <c r="BE4" s="543"/>
      <c r="BF4" s="1308" t="s">
        <v>1552</v>
      </c>
      <c r="BG4" s="1070" t="s">
        <v>1755</v>
      </c>
      <c r="BH4" s="1317" t="s">
        <v>1844</v>
      </c>
      <c r="BI4" s="531">
        <v>12.1</v>
      </c>
      <c r="BJ4" s="1317" t="s">
        <v>1847</v>
      </c>
      <c r="BK4" s="1304" t="s">
        <v>840</v>
      </c>
      <c r="BL4" s="1304" t="s">
        <v>841</v>
      </c>
    </row>
    <row r="5" spans="1:64" s="480" customFormat="1" ht="10.5" customHeight="1">
      <c r="A5" s="1362" t="s">
        <v>1298</v>
      </c>
      <c r="B5" s="471" t="s">
        <v>1500</v>
      </c>
      <c r="C5" s="675" t="s">
        <v>2202</v>
      </c>
      <c r="D5" s="489" t="s">
        <v>2539</v>
      </c>
      <c r="E5" s="477">
        <v>8.5</v>
      </c>
      <c r="F5" s="489" t="s">
        <v>2540</v>
      </c>
      <c r="G5" s="671" t="s">
        <v>840</v>
      </c>
      <c r="H5" s="509" t="s">
        <v>841</v>
      </c>
      <c r="J5" s="1008" t="s">
        <v>1531</v>
      </c>
      <c r="K5" s="675" t="s">
        <v>1752</v>
      </c>
      <c r="L5" s="677" t="s">
        <v>2386</v>
      </c>
      <c r="M5" s="483">
        <v>9.49</v>
      </c>
      <c r="N5" s="677" t="s">
        <v>2387</v>
      </c>
      <c r="O5" s="671" t="s">
        <v>840</v>
      </c>
      <c r="P5" s="671" t="s">
        <v>841</v>
      </c>
      <c r="Q5" s="315"/>
      <c r="R5" s="471" t="s">
        <v>1511</v>
      </c>
      <c r="S5" s="672" t="s">
        <v>1753</v>
      </c>
      <c r="T5" s="409" t="s">
        <v>1364</v>
      </c>
      <c r="U5" s="477">
        <v>11.72</v>
      </c>
      <c r="V5" s="409" t="s">
        <v>1365</v>
      </c>
      <c r="W5" s="671" t="s">
        <v>840</v>
      </c>
      <c r="X5" s="671" t="s">
        <v>841</v>
      </c>
      <c r="Y5" s="451"/>
      <c r="Z5" s="479" t="s">
        <v>1561</v>
      </c>
      <c r="AA5" s="672" t="s">
        <v>1753</v>
      </c>
      <c r="AB5" s="1091" t="s">
        <v>2059</v>
      </c>
      <c r="AC5" s="477">
        <v>11.6</v>
      </c>
      <c r="AD5" s="1091" t="s">
        <v>1094</v>
      </c>
      <c r="AE5" s="671" t="s">
        <v>840</v>
      </c>
      <c r="AF5" s="671" t="s">
        <v>841</v>
      </c>
      <c r="AH5" s="670" t="s">
        <v>1501</v>
      </c>
      <c r="AI5" s="871" t="s">
        <v>1754</v>
      </c>
      <c r="AJ5" s="489" t="s">
        <v>1096</v>
      </c>
      <c r="AK5" s="477">
        <v>5</v>
      </c>
      <c r="AL5" s="875" t="s">
        <v>1108</v>
      </c>
      <c r="AM5" s="671" t="s">
        <v>840</v>
      </c>
      <c r="AN5" s="671" t="s">
        <v>841</v>
      </c>
      <c r="AO5" s="451"/>
      <c r="AP5" s="481" t="s">
        <v>1546</v>
      </c>
      <c r="AQ5" s="673" t="s">
        <v>1754</v>
      </c>
      <c r="AR5" s="42" t="s">
        <v>2075</v>
      </c>
      <c r="AS5" s="43">
        <v>11.75</v>
      </c>
      <c r="AT5" s="42" t="s">
        <v>2076</v>
      </c>
      <c r="AU5" s="509" t="s">
        <v>840</v>
      </c>
      <c r="AV5" s="671" t="s">
        <v>841</v>
      </c>
      <c r="AW5" s="485"/>
      <c r="AX5" s="481" t="s">
        <v>1503</v>
      </c>
      <c r="AY5" s="674" t="s">
        <v>1755</v>
      </c>
      <c r="AZ5" s="450" t="s">
        <v>1115</v>
      </c>
      <c r="BA5" s="20">
        <v>13.29</v>
      </c>
      <c r="BB5" s="450" t="s">
        <v>1119</v>
      </c>
      <c r="BC5" s="509" t="s">
        <v>840</v>
      </c>
      <c r="BD5" s="509" t="s">
        <v>841</v>
      </c>
      <c r="BE5" s="315"/>
      <c r="BF5" s="963" t="s">
        <v>1553</v>
      </c>
      <c r="BG5" s="675" t="s">
        <v>1755</v>
      </c>
      <c r="BH5" s="961" t="s">
        <v>1845</v>
      </c>
      <c r="BI5" s="483">
        <v>11.45</v>
      </c>
      <c r="BJ5" s="961" t="s">
        <v>1848</v>
      </c>
      <c r="BK5" s="671" t="s">
        <v>840</v>
      </c>
      <c r="BL5" s="671" t="s">
        <v>841</v>
      </c>
    </row>
    <row r="6" spans="1:64" s="480" customFormat="1" ht="10.5" customHeight="1">
      <c r="A6" s="605"/>
      <c r="B6" s="1302" t="s">
        <v>1501</v>
      </c>
      <c r="C6" s="1070" t="s">
        <v>2202</v>
      </c>
      <c r="D6" s="1303" t="s">
        <v>2544</v>
      </c>
      <c r="E6" s="579">
        <v>8.4</v>
      </c>
      <c r="F6" s="1303" t="s">
        <v>2545</v>
      </c>
      <c r="G6" s="1304" t="s">
        <v>840</v>
      </c>
      <c r="H6" s="1311" t="s">
        <v>841</v>
      </c>
      <c r="I6" s="581"/>
      <c r="J6" s="1302" t="s">
        <v>1532</v>
      </c>
      <c r="K6" s="1070" t="s">
        <v>1752</v>
      </c>
      <c r="L6" s="1305" t="s">
        <v>2409</v>
      </c>
      <c r="M6" s="531">
        <v>9.59</v>
      </c>
      <c r="N6" s="1305" t="s">
        <v>2410</v>
      </c>
      <c r="O6" s="1304" t="s">
        <v>840</v>
      </c>
      <c r="P6" s="1304" t="s">
        <v>841</v>
      </c>
      <c r="Q6" s="605"/>
      <c r="R6" s="1302" t="s">
        <v>1512</v>
      </c>
      <c r="S6" s="1309" t="s">
        <v>1753</v>
      </c>
      <c r="T6" s="1625" t="s">
        <v>55</v>
      </c>
      <c r="U6" s="579">
        <v>11.72</v>
      </c>
      <c r="V6" s="1625" t="s">
        <v>67</v>
      </c>
      <c r="W6" s="1304" t="s">
        <v>840</v>
      </c>
      <c r="X6" s="1304" t="s">
        <v>841</v>
      </c>
      <c r="Y6" s="604"/>
      <c r="Z6" s="606" t="s">
        <v>1562</v>
      </c>
      <c r="AA6" s="1309" t="s">
        <v>1753</v>
      </c>
      <c r="AB6" s="1327" t="s">
        <v>2060</v>
      </c>
      <c r="AC6" s="579">
        <v>11.75</v>
      </c>
      <c r="AD6" s="1327" t="s">
        <v>2061</v>
      </c>
      <c r="AE6" s="1304" t="s">
        <v>840</v>
      </c>
      <c r="AF6" s="1304" t="s">
        <v>841</v>
      </c>
      <c r="AG6" s="605"/>
      <c r="AH6" s="1307" t="s">
        <v>1502</v>
      </c>
      <c r="AI6" s="1324" t="s">
        <v>1754</v>
      </c>
      <c r="AJ6" s="1303" t="s">
        <v>1097</v>
      </c>
      <c r="AK6" s="579">
        <v>13.2</v>
      </c>
      <c r="AL6" s="1320" t="s">
        <v>1109</v>
      </c>
      <c r="AM6" s="1311" t="s">
        <v>840</v>
      </c>
      <c r="AN6" s="1304" t="s">
        <v>841</v>
      </c>
      <c r="AO6" s="553"/>
      <c r="AP6" s="1312" t="s">
        <v>1547</v>
      </c>
      <c r="AQ6" s="1313" t="s">
        <v>1754</v>
      </c>
      <c r="AR6" s="1323" t="s">
        <v>2077</v>
      </c>
      <c r="AS6" s="534">
        <v>11.8</v>
      </c>
      <c r="AT6" s="1323" t="s">
        <v>2078</v>
      </c>
      <c r="AU6" s="1311" t="s">
        <v>840</v>
      </c>
      <c r="AV6" s="1304" t="s">
        <v>841</v>
      </c>
      <c r="AW6" s="553"/>
      <c r="AX6" s="1308" t="s">
        <v>1504</v>
      </c>
      <c r="AY6" s="1070" t="s">
        <v>1755</v>
      </c>
      <c r="AZ6" s="1496" t="s">
        <v>77</v>
      </c>
      <c r="BA6" s="579">
        <v>13.19</v>
      </c>
      <c r="BB6" s="1496" t="s">
        <v>91</v>
      </c>
      <c r="BC6" s="1304" t="s">
        <v>840</v>
      </c>
      <c r="BD6" s="1304" t="s">
        <v>841</v>
      </c>
      <c r="BE6" s="543"/>
      <c r="BF6" s="1312" t="s">
        <v>1554</v>
      </c>
      <c r="BG6" s="1314" t="s">
        <v>1755</v>
      </c>
      <c r="BH6" s="1315" t="s">
        <v>1846</v>
      </c>
      <c r="BI6" s="537">
        <v>12.12</v>
      </c>
      <c r="BJ6" s="1315" t="s">
        <v>1849</v>
      </c>
      <c r="BK6" s="1311" t="s">
        <v>840</v>
      </c>
      <c r="BL6" s="1311" t="s">
        <v>841</v>
      </c>
    </row>
    <row r="7" spans="1:64" s="480" customFormat="1" ht="10.5" customHeight="1">
      <c r="B7" s="471" t="s">
        <v>1502</v>
      </c>
      <c r="C7" s="675" t="s">
        <v>2202</v>
      </c>
      <c r="D7" s="489" t="s">
        <v>2604</v>
      </c>
      <c r="E7" s="477">
        <v>7.8</v>
      </c>
      <c r="F7" s="489" t="s">
        <v>2605</v>
      </c>
      <c r="G7" s="671" t="s">
        <v>840</v>
      </c>
      <c r="H7" s="509" t="s">
        <v>841</v>
      </c>
      <c r="I7" s="470"/>
      <c r="J7" s="1008" t="s">
        <v>1533</v>
      </c>
      <c r="K7" s="675" t="s">
        <v>1752</v>
      </c>
      <c r="L7" s="677" t="s">
        <v>2419</v>
      </c>
      <c r="M7" s="483">
        <v>9.66</v>
      </c>
      <c r="N7" s="677" t="s">
        <v>2420</v>
      </c>
      <c r="O7" s="671" t="s">
        <v>840</v>
      </c>
      <c r="P7" s="671" t="s">
        <v>841</v>
      </c>
      <c r="R7" s="471" t="s">
        <v>1513</v>
      </c>
      <c r="S7" s="672" t="s">
        <v>1753</v>
      </c>
      <c r="T7" s="409" t="s">
        <v>56</v>
      </c>
      <c r="U7" s="477">
        <v>11.7</v>
      </c>
      <c r="V7" s="409" t="s">
        <v>68</v>
      </c>
      <c r="W7" s="671" t="s">
        <v>840</v>
      </c>
      <c r="X7" s="671" t="s">
        <v>841</v>
      </c>
      <c r="Y7" s="451"/>
      <c r="Z7" s="672" t="s">
        <v>1563</v>
      </c>
      <c r="AA7" s="672" t="s">
        <v>1753</v>
      </c>
      <c r="AB7" s="414" t="s">
        <v>2062</v>
      </c>
      <c r="AC7" s="477">
        <v>11.75</v>
      </c>
      <c r="AD7" s="414" t="s">
        <v>1107</v>
      </c>
      <c r="AE7" s="671" t="s">
        <v>840</v>
      </c>
      <c r="AF7" s="671" t="s">
        <v>841</v>
      </c>
      <c r="AH7" s="486" t="s">
        <v>1503</v>
      </c>
      <c r="AI7" s="872" t="s">
        <v>1771</v>
      </c>
      <c r="AJ7" s="450" t="s">
        <v>1105</v>
      </c>
      <c r="AK7" s="20">
        <v>12.94</v>
      </c>
      <c r="AL7" s="418" t="s">
        <v>1110</v>
      </c>
      <c r="AM7" s="509" t="s">
        <v>840</v>
      </c>
      <c r="AN7" s="671" t="s">
        <v>841</v>
      </c>
      <c r="AO7" s="451"/>
      <c r="AP7" s="481" t="s">
        <v>1548</v>
      </c>
      <c r="AQ7" s="673" t="s">
        <v>1754</v>
      </c>
      <c r="AR7" s="415" t="s">
        <v>2079</v>
      </c>
      <c r="AS7" s="42">
        <v>11.8</v>
      </c>
      <c r="AT7" s="415" t="s">
        <v>2080</v>
      </c>
      <c r="AU7" s="509" t="s">
        <v>840</v>
      </c>
      <c r="AV7" s="671" t="s">
        <v>841</v>
      </c>
      <c r="AW7" s="451"/>
      <c r="AX7" s="963" t="s">
        <v>1505</v>
      </c>
      <c r="AY7" s="675" t="s">
        <v>1755</v>
      </c>
      <c r="AZ7" s="409" t="s">
        <v>78</v>
      </c>
      <c r="BA7" s="477">
        <v>13.14</v>
      </c>
      <c r="BB7" s="409" t="s">
        <v>92</v>
      </c>
      <c r="BC7" s="671" t="s">
        <v>840</v>
      </c>
      <c r="BD7" s="671" t="s">
        <v>841</v>
      </c>
      <c r="BF7" s="481" t="s">
        <v>1555</v>
      </c>
      <c r="BG7" s="674" t="s">
        <v>1755</v>
      </c>
      <c r="BH7" s="416" t="s">
        <v>1855</v>
      </c>
      <c r="BI7" s="43">
        <v>12.16</v>
      </c>
      <c r="BJ7" s="416" t="s">
        <v>1856</v>
      </c>
      <c r="BK7" s="509" t="s">
        <v>840</v>
      </c>
      <c r="BL7" s="509" t="s">
        <v>841</v>
      </c>
    </row>
    <row r="8" spans="1:64" s="480" customFormat="1" ht="10.5" customHeight="1">
      <c r="A8" s="605"/>
      <c r="B8" s="1302" t="s">
        <v>1503</v>
      </c>
      <c r="C8" s="1070" t="s">
        <v>2202</v>
      </c>
      <c r="D8" s="1303" t="s">
        <v>2610</v>
      </c>
      <c r="E8" s="579">
        <v>7.2</v>
      </c>
      <c r="F8" s="1303" t="s">
        <v>2613</v>
      </c>
      <c r="G8" s="1304" t="s">
        <v>840</v>
      </c>
      <c r="H8" s="1311" t="s">
        <v>841</v>
      </c>
      <c r="I8" s="1319"/>
      <c r="J8" s="1302" t="s">
        <v>1534</v>
      </c>
      <c r="K8" s="1314" t="s">
        <v>1752</v>
      </c>
      <c r="L8" s="1305" t="s">
        <v>2432</v>
      </c>
      <c r="M8" s="531">
        <v>9.6</v>
      </c>
      <c r="N8" s="1305" t="s">
        <v>2433</v>
      </c>
      <c r="O8" s="1304" t="s">
        <v>840</v>
      </c>
      <c r="P8" s="1304" t="s">
        <v>841</v>
      </c>
      <c r="Q8" s="576"/>
      <c r="R8" s="1316" t="s">
        <v>1514</v>
      </c>
      <c r="S8" s="1309" t="s">
        <v>1753</v>
      </c>
      <c r="T8" s="1625" t="s">
        <v>57</v>
      </c>
      <c r="U8" s="579">
        <v>11.72</v>
      </c>
      <c r="V8" s="1625" t="s">
        <v>69</v>
      </c>
      <c r="W8" s="1304" t="s">
        <v>840</v>
      </c>
      <c r="X8" s="1304" t="s">
        <v>841</v>
      </c>
      <c r="Y8" s="553"/>
      <c r="Z8" s="1309" t="s">
        <v>1564</v>
      </c>
      <c r="AA8" s="1309" t="s">
        <v>1753</v>
      </c>
      <c r="AB8" s="1305" t="s">
        <v>2063</v>
      </c>
      <c r="AC8" s="579">
        <v>11.8</v>
      </c>
      <c r="AD8" s="1305" t="s">
        <v>2064</v>
      </c>
      <c r="AE8" s="1304" t="s">
        <v>840</v>
      </c>
      <c r="AF8" s="1304" t="s">
        <v>841</v>
      </c>
      <c r="AG8" s="605"/>
      <c r="AH8" s="1318" t="s">
        <v>1504</v>
      </c>
      <c r="AI8" s="1324" t="s">
        <v>1754</v>
      </c>
      <c r="AJ8" s="1303" t="s">
        <v>1106</v>
      </c>
      <c r="AK8" s="579">
        <v>12.89</v>
      </c>
      <c r="AL8" s="1320" t="s">
        <v>1111</v>
      </c>
      <c r="AM8" s="1304" t="s">
        <v>840</v>
      </c>
      <c r="AN8" s="1304" t="s">
        <v>841</v>
      </c>
      <c r="AO8" s="604"/>
      <c r="AP8" s="1308" t="s">
        <v>1549</v>
      </c>
      <c r="AQ8" s="1313" t="s">
        <v>1754</v>
      </c>
      <c r="AR8" s="1305" t="s">
        <v>2081</v>
      </c>
      <c r="AS8" s="530">
        <v>11.88</v>
      </c>
      <c r="AT8" s="1305" t="s">
        <v>2082</v>
      </c>
      <c r="AU8" s="1304" t="s">
        <v>840</v>
      </c>
      <c r="AV8" s="1304" t="s">
        <v>841</v>
      </c>
      <c r="AW8" s="604"/>
      <c r="AX8" s="1312" t="s">
        <v>1506</v>
      </c>
      <c r="AY8" s="1314" t="s">
        <v>1755</v>
      </c>
      <c r="AZ8" s="576" t="s">
        <v>79</v>
      </c>
      <c r="BA8" s="580">
        <v>13.04</v>
      </c>
      <c r="BB8" s="576" t="s">
        <v>93</v>
      </c>
      <c r="BC8" s="1311" t="s">
        <v>840</v>
      </c>
      <c r="BD8" s="1311" t="s">
        <v>841</v>
      </c>
      <c r="BE8" s="605"/>
      <c r="BF8" s="1312" t="s">
        <v>1556</v>
      </c>
      <c r="BG8" s="1314" t="s">
        <v>1755</v>
      </c>
      <c r="BH8" s="1315" t="s">
        <v>1885</v>
      </c>
      <c r="BI8" s="537">
        <v>12.16</v>
      </c>
      <c r="BJ8" s="1315" t="s">
        <v>1886</v>
      </c>
      <c r="BK8" s="1311" t="s">
        <v>840</v>
      </c>
      <c r="BL8" s="1311" t="s">
        <v>841</v>
      </c>
    </row>
    <row r="9" spans="1:64" s="480" customFormat="1" ht="11.25" customHeight="1">
      <c r="B9" s="471" t="s">
        <v>1504</v>
      </c>
      <c r="C9" s="675" t="s">
        <v>2202</v>
      </c>
      <c r="D9" s="489" t="s">
        <v>2621</v>
      </c>
      <c r="E9" s="477">
        <v>6.44</v>
      </c>
      <c r="F9" s="489" t="s">
        <v>2622</v>
      </c>
      <c r="G9" s="671" t="s">
        <v>840</v>
      </c>
      <c r="H9" s="509" t="s">
        <v>841</v>
      </c>
      <c r="I9" s="470"/>
      <c r="J9" s="471" t="s">
        <v>1535</v>
      </c>
      <c r="K9" s="675" t="s">
        <v>1752</v>
      </c>
      <c r="L9" s="677" t="s">
        <v>2526</v>
      </c>
      <c r="M9" s="483">
        <v>9.5</v>
      </c>
      <c r="N9" s="677" t="s">
        <v>2527</v>
      </c>
      <c r="O9" s="671" t="s">
        <v>840</v>
      </c>
      <c r="P9" s="671" t="s">
        <v>841</v>
      </c>
      <c r="R9" s="471" t="s">
        <v>1515</v>
      </c>
      <c r="S9" s="672" t="s">
        <v>1753</v>
      </c>
      <c r="T9" s="409" t="s">
        <v>58</v>
      </c>
      <c r="U9" s="477">
        <v>11.72</v>
      </c>
      <c r="V9" s="409" t="s">
        <v>70</v>
      </c>
      <c r="W9" s="671" t="s">
        <v>840</v>
      </c>
      <c r="X9" s="671" t="s">
        <v>841</v>
      </c>
      <c r="Y9" s="451"/>
      <c r="Z9" s="479" t="s">
        <v>1565</v>
      </c>
      <c r="AA9" s="672" t="s">
        <v>1753</v>
      </c>
      <c r="AB9" s="415" t="s">
        <v>2065</v>
      </c>
      <c r="AC9" s="477">
        <v>11.75</v>
      </c>
      <c r="AD9" s="415" t="s">
        <v>1110</v>
      </c>
      <c r="AE9" s="671" t="s">
        <v>840</v>
      </c>
      <c r="AF9" s="671" t="s">
        <v>841</v>
      </c>
      <c r="AH9" s="486" t="s">
        <v>1505</v>
      </c>
      <c r="AI9" s="871" t="s">
        <v>1754</v>
      </c>
      <c r="AJ9" s="489" t="s">
        <v>848</v>
      </c>
      <c r="AK9" s="477">
        <v>12.22</v>
      </c>
      <c r="AL9" s="875" t="s">
        <v>856</v>
      </c>
      <c r="AM9" s="671" t="s">
        <v>840</v>
      </c>
      <c r="AN9" s="671" t="s">
        <v>841</v>
      </c>
      <c r="AO9" s="451"/>
      <c r="AP9" s="481" t="s">
        <v>1550</v>
      </c>
      <c r="AQ9" s="673" t="s">
        <v>1754</v>
      </c>
      <c r="AR9" s="415" t="s">
        <v>2083</v>
      </c>
      <c r="AS9" s="43">
        <v>11.93</v>
      </c>
      <c r="AT9" s="415" t="s">
        <v>2084</v>
      </c>
      <c r="AU9" s="509" t="s">
        <v>840</v>
      </c>
      <c r="AV9" s="671" t="s">
        <v>841</v>
      </c>
      <c r="AX9" s="481" t="s">
        <v>1507</v>
      </c>
      <c r="AY9" s="674" t="s">
        <v>1755</v>
      </c>
      <c r="AZ9" s="450" t="s">
        <v>80</v>
      </c>
      <c r="BA9" s="20">
        <v>13.14</v>
      </c>
      <c r="BB9" s="450" t="s">
        <v>94</v>
      </c>
      <c r="BC9" s="509" t="s">
        <v>840</v>
      </c>
      <c r="BD9" s="509" t="s">
        <v>841</v>
      </c>
      <c r="BE9" s="315"/>
      <c r="BF9" s="963" t="s">
        <v>1557</v>
      </c>
      <c r="BG9" s="675" t="s">
        <v>1755</v>
      </c>
      <c r="BH9" s="961" t="s">
        <v>1932</v>
      </c>
      <c r="BI9" s="483">
        <v>12.16</v>
      </c>
      <c r="BJ9" s="961" t="s">
        <v>1933</v>
      </c>
      <c r="BK9" s="671" t="s">
        <v>840</v>
      </c>
      <c r="BL9" s="671" t="s">
        <v>841</v>
      </c>
    </row>
    <row r="10" spans="1:64" s="480" customFormat="1" ht="9.75" customHeight="1">
      <c r="A10" s="1368"/>
      <c r="B10" s="1302" t="s">
        <v>1505</v>
      </c>
      <c r="C10" s="1070" t="s">
        <v>2202</v>
      </c>
      <c r="D10" s="1303" t="s">
        <v>2637</v>
      </c>
      <c r="E10" s="579">
        <v>6.43</v>
      </c>
      <c r="F10" s="1303" t="s">
        <v>2638</v>
      </c>
      <c r="G10" s="1304" t="s">
        <v>840</v>
      </c>
      <c r="H10" s="1311" t="s">
        <v>841</v>
      </c>
      <c r="I10" s="581"/>
      <c r="J10" s="1302" t="s">
        <v>1536</v>
      </c>
      <c r="K10" s="1070" t="s">
        <v>1752</v>
      </c>
      <c r="L10" s="1305" t="s">
        <v>2530</v>
      </c>
      <c r="M10" s="531">
        <v>9.48</v>
      </c>
      <c r="N10" s="1305" t="s">
        <v>2531</v>
      </c>
      <c r="O10" s="1304" t="s">
        <v>840</v>
      </c>
      <c r="P10" s="1304" t="s">
        <v>841</v>
      </c>
      <c r="Q10" s="581"/>
      <c r="R10" s="1316" t="s">
        <v>1516</v>
      </c>
      <c r="S10" s="1309" t="s">
        <v>1753</v>
      </c>
      <c r="T10" s="1625" t="s">
        <v>59</v>
      </c>
      <c r="U10" s="579">
        <v>11.72</v>
      </c>
      <c r="V10" s="1625" t="s">
        <v>71</v>
      </c>
      <c r="W10" s="1304" t="s">
        <v>840</v>
      </c>
      <c r="X10" s="1304" t="s">
        <v>841</v>
      </c>
      <c r="Y10" s="553"/>
      <c r="Z10" s="1309" t="s">
        <v>1566</v>
      </c>
      <c r="AA10" s="1309" t="s">
        <v>1753</v>
      </c>
      <c r="AB10" s="1305" t="s">
        <v>2066</v>
      </c>
      <c r="AC10" s="579">
        <v>11.8</v>
      </c>
      <c r="AD10" s="1305" t="s">
        <v>1111</v>
      </c>
      <c r="AE10" s="1304" t="s">
        <v>840</v>
      </c>
      <c r="AF10" s="1304" t="s">
        <v>841</v>
      </c>
      <c r="AG10" s="605"/>
      <c r="AH10" s="1318" t="s">
        <v>1506</v>
      </c>
      <c r="AI10" s="1324" t="s">
        <v>1754</v>
      </c>
      <c r="AJ10" s="1303" t="s">
        <v>849</v>
      </c>
      <c r="AK10" s="579">
        <v>12.22</v>
      </c>
      <c r="AL10" s="1320" t="s">
        <v>857</v>
      </c>
      <c r="AM10" s="1304" t="s">
        <v>840</v>
      </c>
      <c r="AN10" s="1304" t="s">
        <v>841</v>
      </c>
      <c r="AO10" s="553"/>
      <c r="AP10" s="1312" t="s">
        <v>1551</v>
      </c>
      <c r="AQ10" s="1313" t="s">
        <v>1754</v>
      </c>
      <c r="AR10" s="1323" t="s">
        <v>2085</v>
      </c>
      <c r="AS10" s="534">
        <v>12</v>
      </c>
      <c r="AT10" s="1323" t="s">
        <v>2086</v>
      </c>
      <c r="AU10" s="1311" t="s">
        <v>840</v>
      </c>
      <c r="AV10" s="1304" t="s">
        <v>841</v>
      </c>
      <c r="AW10" s="543"/>
      <c r="AX10" s="1308" t="s">
        <v>1508</v>
      </c>
      <c r="AY10" s="1070" t="s">
        <v>1755</v>
      </c>
      <c r="AZ10" s="1496" t="s">
        <v>81</v>
      </c>
      <c r="BA10" s="579">
        <v>13.13</v>
      </c>
      <c r="BB10" s="1496" t="s">
        <v>95</v>
      </c>
      <c r="BC10" s="1304" t="s">
        <v>840</v>
      </c>
      <c r="BD10" s="1304" t="s">
        <v>841</v>
      </c>
      <c r="BE10" s="543"/>
      <c r="BF10" s="1308" t="s">
        <v>1558</v>
      </c>
      <c r="BG10" s="1070" t="s">
        <v>1755</v>
      </c>
      <c r="BH10" s="1317" t="s">
        <v>1937</v>
      </c>
      <c r="BI10" s="531">
        <v>12.18</v>
      </c>
      <c r="BJ10" s="1317" t="s">
        <v>1938</v>
      </c>
      <c r="BK10" s="1304" t="s">
        <v>840</v>
      </c>
      <c r="BL10" s="1304" t="s">
        <v>841</v>
      </c>
    </row>
    <row r="11" spans="1:64" s="480" customFormat="1" ht="10.5" customHeight="1">
      <c r="A11" s="818"/>
      <c r="B11" s="471" t="s">
        <v>1506</v>
      </c>
      <c r="C11" s="675" t="s">
        <v>2202</v>
      </c>
      <c r="D11" s="489" t="s">
        <v>2652</v>
      </c>
      <c r="E11" s="477">
        <v>4.1900000000000004</v>
      </c>
      <c r="F11" s="489" t="s">
        <v>2653</v>
      </c>
      <c r="G11" s="671" t="s">
        <v>840</v>
      </c>
      <c r="H11" s="509" t="s">
        <v>841</v>
      </c>
      <c r="J11" s="471" t="s">
        <v>1537</v>
      </c>
      <c r="K11" s="675" t="s">
        <v>1752</v>
      </c>
      <c r="L11" s="677" t="s">
        <v>2537</v>
      </c>
      <c r="M11" s="483">
        <v>9.4499999999999993</v>
      </c>
      <c r="N11" s="677" t="s">
        <v>2538</v>
      </c>
      <c r="O11" s="671" t="s">
        <v>840</v>
      </c>
      <c r="P11" s="671" t="s">
        <v>841</v>
      </c>
      <c r="Q11" s="315"/>
      <c r="R11" s="1008" t="s">
        <v>1517</v>
      </c>
      <c r="S11" s="672" t="s">
        <v>1753</v>
      </c>
      <c r="T11" s="409" t="s">
        <v>60</v>
      </c>
      <c r="U11" s="477">
        <v>11.72</v>
      </c>
      <c r="V11" s="409" t="s">
        <v>72</v>
      </c>
      <c r="W11" s="671" t="s">
        <v>840</v>
      </c>
      <c r="X11" s="671" t="s">
        <v>841</v>
      </c>
      <c r="Y11" s="451"/>
      <c r="Z11" s="479" t="s">
        <v>1567</v>
      </c>
      <c r="AA11" s="672" t="s">
        <v>1753</v>
      </c>
      <c r="AB11" s="677" t="s">
        <v>2067</v>
      </c>
      <c r="AC11" s="477">
        <v>11.9</v>
      </c>
      <c r="AD11" s="677" t="s">
        <v>856</v>
      </c>
      <c r="AE11" s="671" t="s">
        <v>840</v>
      </c>
      <c r="AF11" s="671" t="s">
        <v>841</v>
      </c>
      <c r="AG11" s="484"/>
      <c r="AH11" s="481" t="s">
        <v>1507</v>
      </c>
      <c r="AI11" s="1062" t="s">
        <v>1754</v>
      </c>
      <c r="AJ11" s="482" t="s">
        <v>850</v>
      </c>
      <c r="AK11" s="483">
        <v>12.22</v>
      </c>
      <c r="AL11" s="482" t="s">
        <v>858</v>
      </c>
      <c r="AM11" s="671" t="s">
        <v>840</v>
      </c>
      <c r="AN11" s="671" t="s">
        <v>841</v>
      </c>
      <c r="AO11" s="451"/>
      <c r="AP11" s="481" t="s">
        <v>1552</v>
      </c>
      <c r="AQ11" s="673" t="s">
        <v>1754</v>
      </c>
      <c r="AR11" s="415" t="s">
        <v>2087</v>
      </c>
      <c r="AS11" s="43">
        <v>12.1</v>
      </c>
      <c r="AT11" s="415" t="s">
        <v>2088</v>
      </c>
      <c r="AU11" s="509" t="s">
        <v>840</v>
      </c>
      <c r="AV11" s="671" t="s">
        <v>841</v>
      </c>
      <c r="AW11" s="315"/>
      <c r="AX11" s="963" t="s">
        <v>1509</v>
      </c>
      <c r="AY11" s="675" t="s">
        <v>1755</v>
      </c>
      <c r="AZ11" s="409" t="s">
        <v>82</v>
      </c>
      <c r="BA11" s="477">
        <v>13.09</v>
      </c>
      <c r="BB11" s="409" t="s">
        <v>96</v>
      </c>
      <c r="BC11" s="671" t="s">
        <v>840</v>
      </c>
      <c r="BD11" s="671" t="s">
        <v>841</v>
      </c>
      <c r="BE11" s="315"/>
      <c r="BF11" s="481" t="s">
        <v>1559</v>
      </c>
      <c r="BG11" s="674" t="s">
        <v>1755</v>
      </c>
      <c r="BH11" s="416" t="s">
        <v>1964</v>
      </c>
      <c r="BI11" s="43">
        <v>12.28</v>
      </c>
      <c r="BJ11" s="416" t="s">
        <v>1965</v>
      </c>
      <c r="BK11" s="509" t="s">
        <v>840</v>
      </c>
      <c r="BL11" s="509" t="s">
        <v>841</v>
      </c>
    </row>
    <row r="12" spans="1:64" s="480" customFormat="1" ht="10.5" customHeight="1">
      <c r="A12" s="605"/>
      <c r="B12" s="1302" t="s">
        <v>1507</v>
      </c>
      <c r="C12" s="1070" t="s">
        <v>2202</v>
      </c>
      <c r="D12" s="1303" t="s">
        <v>2664</v>
      </c>
      <c r="E12" s="579">
        <v>5.5</v>
      </c>
      <c r="F12" s="1303" t="s">
        <v>2665</v>
      </c>
      <c r="G12" s="1304" t="s">
        <v>840</v>
      </c>
      <c r="H12" s="1311" t="s">
        <v>841</v>
      </c>
      <c r="I12" s="605"/>
      <c r="J12" s="1302" t="s">
        <v>1538</v>
      </c>
      <c r="K12" s="1070" t="s">
        <v>1752</v>
      </c>
      <c r="L12" s="1305" t="s">
        <v>2542</v>
      </c>
      <c r="M12" s="531">
        <v>9.4</v>
      </c>
      <c r="N12" s="1305" t="s">
        <v>2543</v>
      </c>
      <c r="O12" s="1304" t="s">
        <v>840</v>
      </c>
      <c r="P12" s="1304" t="s">
        <v>841</v>
      </c>
      <c r="Q12" s="553"/>
      <c r="R12" s="1316" t="s">
        <v>1518</v>
      </c>
      <c r="S12" s="1309" t="s">
        <v>1753</v>
      </c>
      <c r="T12" s="1625" t="s">
        <v>61</v>
      </c>
      <c r="U12" s="579">
        <v>11.72</v>
      </c>
      <c r="V12" s="1625" t="s">
        <v>73</v>
      </c>
      <c r="W12" s="1304" t="s">
        <v>840</v>
      </c>
      <c r="X12" s="1304" t="s">
        <v>841</v>
      </c>
      <c r="Y12" s="553"/>
      <c r="Z12" s="1309" t="s">
        <v>1568</v>
      </c>
      <c r="AA12" s="1309" t="s">
        <v>1753</v>
      </c>
      <c r="AB12" s="1305" t="s">
        <v>2068</v>
      </c>
      <c r="AC12" s="579">
        <v>12</v>
      </c>
      <c r="AD12" s="1305" t="s">
        <v>857</v>
      </c>
      <c r="AE12" s="1304" t="s">
        <v>840</v>
      </c>
      <c r="AF12" s="1304" t="s">
        <v>841</v>
      </c>
      <c r="AG12" s="605"/>
      <c r="AH12" s="1308" t="s">
        <v>1508</v>
      </c>
      <c r="AI12" s="1313" t="s">
        <v>1754</v>
      </c>
      <c r="AJ12" s="530" t="s">
        <v>851</v>
      </c>
      <c r="AK12" s="531">
        <v>12.22</v>
      </c>
      <c r="AL12" s="530" t="s">
        <v>859</v>
      </c>
      <c r="AM12" s="1304" t="s">
        <v>840</v>
      </c>
      <c r="AN12" s="1304" t="s">
        <v>841</v>
      </c>
      <c r="AO12" s="604"/>
      <c r="AP12" s="1308" t="s">
        <v>1553</v>
      </c>
      <c r="AQ12" s="1313" t="s">
        <v>1754</v>
      </c>
      <c r="AR12" s="1305" t="s">
        <v>2089</v>
      </c>
      <c r="AS12" s="531">
        <v>12.2</v>
      </c>
      <c r="AT12" s="1305" t="s">
        <v>2090</v>
      </c>
      <c r="AU12" s="1304" t="s">
        <v>840</v>
      </c>
      <c r="AV12" s="1304" t="s">
        <v>841</v>
      </c>
      <c r="AW12" s="605"/>
      <c r="AX12" s="1312" t="s">
        <v>1510</v>
      </c>
      <c r="AY12" s="1314" t="s">
        <v>1755</v>
      </c>
      <c r="AZ12" s="576" t="s">
        <v>83</v>
      </c>
      <c r="BA12" s="580">
        <v>13.07</v>
      </c>
      <c r="BB12" s="576" t="s">
        <v>97</v>
      </c>
      <c r="BC12" s="1311" t="s">
        <v>840</v>
      </c>
      <c r="BD12" s="1311" t="s">
        <v>841</v>
      </c>
      <c r="BE12" s="605"/>
      <c r="BF12" s="1312" t="s">
        <v>1560</v>
      </c>
      <c r="BG12" s="1314" t="s">
        <v>1755</v>
      </c>
      <c r="BH12" s="1315" t="s">
        <v>1969</v>
      </c>
      <c r="BI12" s="537">
        <v>12.38</v>
      </c>
      <c r="BJ12" s="1315" t="s">
        <v>2185</v>
      </c>
      <c r="BK12" s="1311" t="s">
        <v>840</v>
      </c>
      <c r="BL12" s="1311" t="s">
        <v>841</v>
      </c>
    </row>
    <row r="13" spans="1:64" s="480" customFormat="1" ht="10.5" customHeight="1">
      <c r="B13" s="1008" t="s">
        <v>1508</v>
      </c>
      <c r="C13" s="675" t="s">
        <v>2202</v>
      </c>
      <c r="D13" s="489" t="s">
        <v>2696</v>
      </c>
      <c r="E13" s="477">
        <v>6</v>
      </c>
      <c r="F13" s="489" t="s">
        <v>2697</v>
      </c>
      <c r="G13" s="671" t="s">
        <v>840</v>
      </c>
      <c r="H13" s="509" t="s">
        <v>841</v>
      </c>
      <c r="I13" s="470"/>
      <c r="J13" s="471" t="s">
        <v>1539</v>
      </c>
      <c r="K13" s="674" t="s">
        <v>1752</v>
      </c>
      <c r="L13" s="677" t="s">
        <v>2606</v>
      </c>
      <c r="M13" s="483">
        <v>8.6</v>
      </c>
      <c r="N13" s="677" t="s">
        <v>2607</v>
      </c>
      <c r="O13" s="671" t="s">
        <v>840</v>
      </c>
      <c r="P13" s="671" t="s">
        <v>841</v>
      </c>
      <c r="Q13" s="315"/>
      <c r="R13" s="1008" t="s">
        <v>1519</v>
      </c>
      <c r="S13" s="672" t="s">
        <v>1753</v>
      </c>
      <c r="T13" s="409" t="s">
        <v>62</v>
      </c>
      <c r="U13" s="477">
        <v>11.72</v>
      </c>
      <c r="V13" s="409" t="s">
        <v>74</v>
      </c>
      <c r="W13" s="671" t="s">
        <v>840</v>
      </c>
      <c r="X13" s="671" t="s">
        <v>841</v>
      </c>
      <c r="Y13" s="451"/>
      <c r="Z13" s="479" t="s">
        <v>1569</v>
      </c>
      <c r="AA13" s="672" t="s">
        <v>1753</v>
      </c>
      <c r="AB13" s="677" t="s">
        <v>2069</v>
      </c>
      <c r="AC13" s="477">
        <v>12.1</v>
      </c>
      <c r="AD13" s="677" t="s">
        <v>2070</v>
      </c>
      <c r="AE13" s="671" t="s">
        <v>840</v>
      </c>
      <c r="AF13" s="671" t="s">
        <v>841</v>
      </c>
      <c r="AG13" s="484"/>
      <c r="AH13" s="963" t="s">
        <v>1509</v>
      </c>
      <c r="AI13" s="673" t="s">
        <v>1754</v>
      </c>
      <c r="AJ13" s="482" t="s">
        <v>852</v>
      </c>
      <c r="AK13" s="483">
        <v>12.22</v>
      </c>
      <c r="AL13" s="482" t="s">
        <v>860</v>
      </c>
      <c r="AM13" s="671" t="s">
        <v>840</v>
      </c>
      <c r="AN13" s="671" t="s">
        <v>841</v>
      </c>
      <c r="AO13" s="485"/>
      <c r="AP13" s="963" t="s">
        <v>1554</v>
      </c>
      <c r="AQ13" s="673" t="s">
        <v>1754</v>
      </c>
      <c r="AR13" s="677" t="s">
        <v>2091</v>
      </c>
      <c r="AS13" s="483">
        <v>12.3</v>
      </c>
      <c r="AT13" s="677" t="s">
        <v>2092</v>
      </c>
      <c r="AU13" s="671" t="s">
        <v>840</v>
      </c>
      <c r="AV13" s="671" t="s">
        <v>841</v>
      </c>
      <c r="AW13" s="315"/>
      <c r="AX13" s="481" t="s">
        <v>1511</v>
      </c>
      <c r="AY13" s="674" t="s">
        <v>1755</v>
      </c>
      <c r="AZ13" s="450" t="s">
        <v>84</v>
      </c>
      <c r="BA13" s="20">
        <v>13.07</v>
      </c>
      <c r="BB13" s="450" t="s">
        <v>84</v>
      </c>
      <c r="BC13" s="509" t="s">
        <v>840</v>
      </c>
      <c r="BD13" s="509" t="s">
        <v>841</v>
      </c>
      <c r="BE13" s="315"/>
      <c r="BF13" s="481" t="s">
        <v>1561</v>
      </c>
      <c r="BG13" s="674" t="s">
        <v>1884</v>
      </c>
      <c r="BH13" s="416" t="s">
        <v>2026</v>
      </c>
      <c r="BI13" s="43">
        <v>12.48</v>
      </c>
      <c r="BJ13" s="416" t="s">
        <v>2186</v>
      </c>
      <c r="BK13" s="509" t="s">
        <v>840</v>
      </c>
      <c r="BL13" s="509" t="s">
        <v>841</v>
      </c>
    </row>
    <row r="14" spans="1:64" s="480" customFormat="1" ht="10.5" customHeight="1">
      <c r="A14" s="605"/>
      <c r="B14" s="1316" t="s">
        <v>1509</v>
      </c>
      <c r="C14" s="1070" t="s">
        <v>2202</v>
      </c>
      <c r="D14" s="1303" t="s">
        <v>2698</v>
      </c>
      <c r="E14" s="579">
        <v>4.9800000000000004</v>
      </c>
      <c r="F14" s="1303" t="s">
        <v>2699</v>
      </c>
      <c r="G14" s="1304" t="s">
        <v>840</v>
      </c>
      <c r="H14" s="1311" t="s">
        <v>841</v>
      </c>
      <c r="I14" s="581"/>
      <c r="J14" s="1302" t="s">
        <v>1540</v>
      </c>
      <c r="K14" s="1070" t="s">
        <v>1752</v>
      </c>
      <c r="L14" s="1305" t="s">
        <v>2611</v>
      </c>
      <c r="M14" s="531">
        <v>7.6</v>
      </c>
      <c r="N14" s="1305" t="s">
        <v>2612</v>
      </c>
      <c r="O14" s="1304" t="s">
        <v>840</v>
      </c>
      <c r="P14" s="1304" t="s">
        <v>841</v>
      </c>
      <c r="Q14" s="543"/>
      <c r="R14" s="1302" t="s">
        <v>1520</v>
      </c>
      <c r="S14" s="1309" t="s">
        <v>1753</v>
      </c>
      <c r="T14" s="1625" t="s">
        <v>63</v>
      </c>
      <c r="U14" s="579">
        <v>11.72</v>
      </c>
      <c r="V14" s="1625" t="s">
        <v>75</v>
      </c>
      <c r="W14" s="1304" t="s">
        <v>840</v>
      </c>
      <c r="X14" s="1304" t="s">
        <v>841</v>
      </c>
      <c r="Y14" s="553"/>
      <c r="Z14" s="606" t="s">
        <v>1570</v>
      </c>
      <c r="AA14" s="1309" t="s">
        <v>1753</v>
      </c>
      <c r="AB14" s="1305" t="s">
        <v>2161</v>
      </c>
      <c r="AC14" s="579">
        <v>12.1</v>
      </c>
      <c r="AD14" s="1305" t="s">
        <v>2162</v>
      </c>
      <c r="AE14" s="1304" t="s">
        <v>840</v>
      </c>
      <c r="AF14" s="1304" t="s">
        <v>841</v>
      </c>
      <c r="AG14" s="1319"/>
      <c r="AH14" s="1312" t="s">
        <v>1510</v>
      </c>
      <c r="AI14" s="1313" t="s">
        <v>1754</v>
      </c>
      <c r="AJ14" s="530" t="s">
        <v>2214</v>
      </c>
      <c r="AK14" s="531">
        <v>12.14</v>
      </c>
      <c r="AL14" s="530" t="s">
        <v>2215</v>
      </c>
      <c r="AM14" s="1304" t="s">
        <v>840</v>
      </c>
      <c r="AN14" s="1304" t="s">
        <v>841</v>
      </c>
      <c r="AO14" s="553"/>
      <c r="AP14" s="1312" t="s">
        <v>1555</v>
      </c>
      <c r="AQ14" s="1313" t="s">
        <v>1754</v>
      </c>
      <c r="AR14" s="1323" t="s">
        <v>2163</v>
      </c>
      <c r="AS14" s="537">
        <v>12.38</v>
      </c>
      <c r="AT14" s="1323" t="s">
        <v>2164</v>
      </c>
      <c r="AU14" s="1311" t="s">
        <v>840</v>
      </c>
      <c r="AV14" s="1311" t="s">
        <v>841</v>
      </c>
      <c r="AW14" s="553"/>
      <c r="AX14" s="1308" t="s">
        <v>1512</v>
      </c>
      <c r="AY14" s="1070" t="s">
        <v>1755</v>
      </c>
      <c r="AZ14" s="1496" t="s">
        <v>85</v>
      </c>
      <c r="BA14" s="579">
        <v>13.07</v>
      </c>
      <c r="BB14" s="1496" t="s">
        <v>98</v>
      </c>
      <c r="BC14" s="1304" t="s">
        <v>840</v>
      </c>
      <c r="BD14" s="1304" t="s">
        <v>841</v>
      </c>
      <c r="BE14" s="576"/>
      <c r="BF14" s="1308" t="s">
        <v>1562</v>
      </c>
      <c r="BG14" s="1070" t="s">
        <v>1884</v>
      </c>
      <c r="BH14" s="1317" t="s">
        <v>2165</v>
      </c>
      <c r="BI14" s="531">
        <v>12.48</v>
      </c>
      <c r="BJ14" s="1317" t="s">
        <v>2187</v>
      </c>
      <c r="BK14" s="1304" t="s">
        <v>840</v>
      </c>
      <c r="BL14" s="1304" t="s">
        <v>841</v>
      </c>
    </row>
    <row r="15" spans="1:64" s="480" customFormat="1" ht="10.5" customHeight="1">
      <c r="B15" s="1008" t="s">
        <v>1510</v>
      </c>
      <c r="C15" s="675" t="s">
        <v>2202</v>
      </c>
      <c r="D15" s="489" t="s">
        <v>2708</v>
      </c>
      <c r="E15" s="477">
        <v>5.04</v>
      </c>
      <c r="F15" s="489" t="s">
        <v>2772</v>
      </c>
      <c r="G15" s="671" t="s">
        <v>840</v>
      </c>
      <c r="H15" s="509" t="s">
        <v>841</v>
      </c>
      <c r="I15" s="470"/>
      <c r="J15" s="471" t="s">
        <v>1541</v>
      </c>
      <c r="K15" s="674" t="s">
        <v>1752</v>
      </c>
      <c r="L15" s="677" t="s">
        <v>2623</v>
      </c>
      <c r="M15" s="483">
        <v>7.49</v>
      </c>
      <c r="N15" s="677" t="s">
        <v>2624</v>
      </c>
      <c r="O15" s="671" t="s">
        <v>840</v>
      </c>
      <c r="P15" s="671" t="s">
        <v>841</v>
      </c>
      <c r="Q15" s="315"/>
      <c r="R15" s="1008" t="s">
        <v>1521</v>
      </c>
      <c r="S15" s="672" t="s">
        <v>1753</v>
      </c>
      <c r="T15" s="450" t="s">
        <v>64</v>
      </c>
      <c r="U15" s="20">
        <v>11.72</v>
      </c>
      <c r="V15" s="450" t="s">
        <v>76</v>
      </c>
      <c r="W15" s="509" t="s">
        <v>840</v>
      </c>
      <c r="X15" s="671" t="s">
        <v>841</v>
      </c>
      <c r="Y15" s="451"/>
      <c r="Z15" s="672" t="s">
        <v>1571</v>
      </c>
      <c r="AA15" s="672" t="s">
        <v>1753</v>
      </c>
      <c r="AB15" s="415" t="s">
        <v>2170</v>
      </c>
      <c r="AC15" s="477">
        <v>12.16</v>
      </c>
      <c r="AD15" s="415" t="s">
        <v>2171</v>
      </c>
      <c r="AE15" s="671" t="s">
        <v>840</v>
      </c>
      <c r="AF15" s="671" t="s">
        <v>841</v>
      </c>
      <c r="AH15" s="481" t="s">
        <v>1511</v>
      </c>
      <c r="AI15" s="673" t="s">
        <v>1754</v>
      </c>
      <c r="AJ15" s="482" t="s">
        <v>853</v>
      </c>
      <c r="AK15" s="483">
        <v>12.14</v>
      </c>
      <c r="AL15" s="482" t="s">
        <v>861</v>
      </c>
      <c r="AM15" s="671" t="s">
        <v>840</v>
      </c>
      <c r="AN15" s="671" t="s">
        <v>841</v>
      </c>
      <c r="AO15" s="451"/>
      <c r="AP15" s="481" t="s">
        <v>1556</v>
      </c>
      <c r="AQ15" s="673" t="s">
        <v>1754</v>
      </c>
      <c r="AR15" s="415" t="s">
        <v>2172</v>
      </c>
      <c r="AS15" s="43">
        <v>12.38</v>
      </c>
      <c r="AT15" s="415" t="s">
        <v>2173</v>
      </c>
      <c r="AU15" s="509" t="s">
        <v>840</v>
      </c>
      <c r="AV15" s="509" t="s">
        <v>841</v>
      </c>
      <c r="AW15" s="451"/>
      <c r="AX15" s="481" t="s">
        <v>1513</v>
      </c>
      <c r="AY15" s="674" t="s">
        <v>1755</v>
      </c>
      <c r="AZ15" s="450" t="s">
        <v>86</v>
      </c>
      <c r="BA15" s="20">
        <v>13.07</v>
      </c>
      <c r="BB15" s="450" t="s">
        <v>99</v>
      </c>
      <c r="BC15" s="509" t="s">
        <v>840</v>
      </c>
      <c r="BD15" s="509" t="s">
        <v>841</v>
      </c>
      <c r="BE15" s="485"/>
      <c r="BF15" s="481" t="s">
        <v>1563</v>
      </c>
      <c r="BG15" s="674" t="s">
        <v>1884</v>
      </c>
      <c r="BH15" s="416" t="s">
        <v>2174</v>
      </c>
      <c r="BI15" s="43">
        <v>12.48</v>
      </c>
      <c r="BJ15" s="416" t="s">
        <v>2188</v>
      </c>
      <c r="BK15" s="509" t="s">
        <v>840</v>
      </c>
      <c r="BL15" s="509" t="s">
        <v>841</v>
      </c>
    </row>
    <row r="16" spans="1:64" s="480" customFormat="1" ht="10.5" customHeight="1">
      <c r="A16" s="605"/>
      <c r="B16" s="1316" t="s">
        <v>1511</v>
      </c>
      <c r="C16" s="1070" t="s">
        <v>2202</v>
      </c>
      <c r="D16" s="1303" t="s">
        <v>2774</v>
      </c>
      <c r="E16" s="579">
        <v>5.29</v>
      </c>
      <c r="F16" s="1303" t="s">
        <v>2775</v>
      </c>
      <c r="G16" s="1304" t="s">
        <v>840</v>
      </c>
      <c r="H16" s="1311" t="s">
        <v>841</v>
      </c>
      <c r="I16" s="581"/>
      <c r="J16" s="1302" t="s">
        <v>1542</v>
      </c>
      <c r="K16" s="1314" t="s">
        <v>1752</v>
      </c>
      <c r="L16" s="1305" t="s">
        <v>2639</v>
      </c>
      <c r="M16" s="531">
        <v>7.35</v>
      </c>
      <c r="N16" s="1305" t="s">
        <v>2640</v>
      </c>
      <c r="O16" s="1304" t="s">
        <v>840</v>
      </c>
      <c r="P16" s="1304" t="s">
        <v>841</v>
      </c>
      <c r="Q16" s="605"/>
      <c r="R16" s="1302" t="s">
        <v>1522</v>
      </c>
      <c r="S16" s="1309" t="s">
        <v>1753</v>
      </c>
      <c r="T16" s="576" t="s">
        <v>1</v>
      </c>
      <c r="U16" s="580">
        <v>11.72</v>
      </c>
      <c r="V16" s="576" t="s">
        <v>2</v>
      </c>
      <c r="W16" s="1311" t="s">
        <v>840</v>
      </c>
      <c r="X16" s="1304" t="s">
        <v>841</v>
      </c>
      <c r="Y16" s="604"/>
      <c r="Z16" s="606" t="s">
        <v>1572</v>
      </c>
      <c r="AA16" s="1309" t="s">
        <v>1753</v>
      </c>
      <c r="AB16" s="1323" t="s">
        <v>2179</v>
      </c>
      <c r="AC16" s="579">
        <v>12.19</v>
      </c>
      <c r="AD16" s="1323" t="s">
        <v>2180</v>
      </c>
      <c r="AE16" s="1304" t="s">
        <v>840</v>
      </c>
      <c r="AF16" s="1304" t="s">
        <v>841</v>
      </c>
      <c r="AG16" s="605"/>
      <c r="AH16" s="1308" t="s">
        <v>1512</v>
      </c>
      <c r="AI16" s="1313" t="s">
        <v>1754</v>
      </c>
      <c r="AJ16" s="530" t="s">
        <v>1344</v>
      </c>
      <c r="AK16" s="531">
        <v>12.14</v>
      </c>
      <c r="AL16" s="530" t="s">
        <v>1345</v>
      </c>
      <c r="AM16" s="1304" t="s">
        <v>840</v>
      </c>
      <c r="AN16" s="1304" t="s">
        <v>841</v>
      </c>
      <c r="AO16" s="553"/>
      <c r="AP16" s="1312" t="s">
        <v>1557</v>
      </c>
      <c r="AQ16" s="1313" t="s">
        <v>1754</v>
      </c>
      <c r="AR16" s="1323" t="s">
        <v>2182</v>
      </c>
      <c r="AS16" s="537">
        <v>12.38</v>
      </c>
      <c r="AT16" s="1323" t="s">
        <v>2183</v>
      </c>
      <c r="AU16" s="1311" t="s">
        <v>840</v>
      </c>
      <c r="AV16" s="1311" t="s">
        <v>841</v>
      </c>
      <c r="AW16" s="604"/>
      <c r="AX16" s="1312" t="s">
        <v>1514</v>
      </c>
      <c r="AY16" s="1314" t="s">
        <v>1755</v>
      </c>
      <c r="AZ16" s="576" t="s">
        <v>87</v>
      </c>
      <c r="BA16" s="580">
        <v>13.07</v>
      </c>
      <c r="BB16" s="576" t="s">
        <v>100</v>
      </c>
      <c r="BC16" s="1311" t="s">
        <v>840</v>
      </c>
      <c r="BD16" s="1311" t="s">
        <v>841</v>
      </c>
      <c r="BE16" s="604"/>
      <c r="BF16" s="1312" t="s">
        <v>1564</v>
      </c>
      <c r="BG16" s="1314" t="s">
        <v>1884</v>
      </c>
      <c r="BH16" s="1315" t="s">
        <v>2184</v>
      </c>
      <c r="BI16" s="537">
        <v>12.47</v>
      </c>
      <c r="BJ16" s="1315" t="s">
        <v>2189</v>
      </c>
      <c r="BK16" s="1311" t="s">
        <v>840</v>
      </c>
      <c r="BL16" s="1311" t="s">
        <v>841</v>
      </c>
    </row>
    <row r="17" spans="1:64" s="480" customFormat="1" ht="10.5" customHeight="1">
      <c r="B17" s="499" t="s">
        <v>1512</v>
      </c>
      <c r="C17" s="675" t="s">
        <v>2202</v>
      </c>
      <c r="D17" s="42" t="s">
        <v>2771</v>
      </c>
      <c r="E17" s="43">
        <v>5.54</v>
      </c>
      <c r="F17" s="42" t="s">
        <v>2773</v>
      </c>
      <c r="G17" s="671" t="s">
        <v>840</v>
      </c>
      <c r="H17" s="509" t="s">
        <v>841</v>
      </c>
      <c r="I17" s="470"/>
      <c r="J17" s="471" t="s">
        <v>1543</v>
      </c>
      <c r="K17" s="674" t="s">
        <v>1752</v>
      </c>
      <c r="L17" s="677" t="s">
        <v>2654</v>
      </c>
      <c r="M17" s="483">
        <v>5.15</v>
      </c>
      <c r="N17" s="677" t="s">
        <v>2737</v>
      </c>
      <c r="O17" s="671" t="s">
        <v>840</v>
      </c>
      <c r="P17" s="671" t="s">
        <v>841</v>
      </c>
      <c r="R17" s="471" t="s">
        <v>1523</v>
      </c>
      <c r="S17" s="672" t="s">
        <v>1753</v>
      </c>
      <c r="T17" s="450" t="s">
        <v>3</v>
      </c>
      <c r="U17" s="20">
        <v>11.72</v>
      </c>
      <c r="V17" s="450" t="s">
        <v>4</v>
      </c>
      <c r="W17" s="509" t="s">
        <v>840</v>
      </c>
      <c r="X17" s="671" t="s">
        <v>841</v>
      </c>
      <c r="Y17" s="451"/>
      <c r="Z17" s="479" t="s">
        <v>1573</v>
      </c>
      <c r="AA17" s="672" t="s">
        <v>1753</v>
      </c>
      <c r="AB17" s="415" t="s">
        <v>2245</v>
      </c>
      <c r="AC17" s="477">
        <v>12.22</v>
      </c>
      <c r="AD17" s="415" t="s">
        <v>2246</v>
      </c>
      <c r="AE17" s="671" t="s">
        <v>840</v>
      </c>
      <c r="AF17" s="671" t="s">
        <v>841</v>
      </c>
      <c r="AG17" s="451"/>
      <c r="AH17" s="481" t="s">
        <v>1513</v>
      </c>
      <c r="AI17" s="673" t="s">
        <v>1754</v>
      </c>
      <c r="AJ17" s="42" t="s">
        <v>854</v>
      </c>
      <c r="AK17" s="43">
        <v>12.14</v>
      </c>
      <c r="AL17" s="42" t="s">
        <v>862</v>
      </c>
      <c r="AM17" s="509" t="s">
        <v>840</v>
      </c>
      <c r="AN17" s="671" t="s">
        <v>841</v>
      </c>
      <c r="AP17" s="963" t="s">
        <v>1558</v>
      </c>
      <c r="AQ17" s="673" t="s">
        <v>1754</v>
      </c>
      <c r="AR17" s="677" t="s">
        <v>2198</v>
      </c>
      <c r="AS17" s="483">
        <v>12.4</v>
      </c>
      <c r="AT17" s="677" t="s">
        <v>2199</v>
      </c>
      <c r="AU17" s="671" t="s">
        <v>840</v>
      </c>
      <c r="AV17" s="671" t="s">
        <v>841</v>
      </c>
      <c r="AW17" s="485"/>
      <c r="AX17" s="481" t="s">
        <v>1515</v>
      </c>
      <c r="AY17" s="674" t="s">
        <v>1755</v>
      </c>
      <c r="AZ17" s="450" t="s">
        <v>88</v>
      </c>
      <c r="BA17" s="20">
        <v>13.07</v>
      </c>
      <c r="BB17" s="450" t="s">
        <v>101</v>
      </c>
      <c r="BC17" s="509" t="s">
        <v>840</v>
      </c>
      <c r="BD17" s="509" t="s">
        <v>841</v>
      </c>
      <c r="BF17" s="481" t="s">
        <v>1565</v>
      </c>
      <c r="BG17" s="674" t="s">
        <v>1884</v>
      </c>
      <c r="BH17" s="416" t="s">
        <v>2200</v>
      </c>
      <c r="BI17" s="43">
        <v>12.48</v>
      </c>
      <c r="BJ17" s="416" t="s">
        <v>2201</v>
      </c>
      <c r="BK17" s="509" t="s">
        <v>840</v>
      </c>
      <c r="BL17" s="509" t="s">
        <v>841</v>
      </c>
    </row>
    <row r="18" spans="1:64" s="480" customFormat="1" ht="9.75" customHeight="1">
      <c r="A18" s="605"/>
      <c r="B18" s="1325" t="s">
        <v>1513</v>
      </c>
      <c r="C18" s="1070" t="s">
        <v>2202</v>
      </c>
      <c r="D18" s="534" t="s">
        <v>2794</v>
      </c>
      <c r="E18" s="537">
        <v>6.09</v>
      </c>
      <c r="F18" s="534" t="s">
        <v>2795</v>
      </c>
      <c r="G18" s="1304" t="s">
        <v>840</v>
      </c>
      <c r="H18" s="1311" t="s">
        <v>841</v>
      </c>
      <c r="I18" s="581"/>
      <c r="J18" s="1302" t="s">
        <v>1544</v>
      </c>
      <c r="K18" s="1314" t="s">
        <v>1752</v>
      </c>
      <c r="L18" s="1305" t="s">
        <v>2666</v>
      </c>
      <c r="M18" s="531">
        <v>6</v>
      </c>
      <c r="N18" s="1305" t="s">
        <v>2667</v>
      </c>
      <c r="O18" s="1304" t="s">
        <v>840</v>
      </c>
      <c r="P18" s="1304" t="s">
        <v>841</v>
      </c>
      <c r="Q18" s="605"/>
      <c r="R18" s="1302" t="s">
        <v>1524</v>
      </c>
      <c r="S18" s="1309" t="s">
        <v>1753</v>
      </c>
      <c r="T18" s="576" t="s">
        <v>5</v>
      </c>
      <c r="U18" s="580">
        <v>11.72</v>
      </c>
      <c r="V18" s="576" t="s">
        <v>6</v>
      </c>
      <c r="W18" s="1311" t="s">
        <v>840</v>
      </c>
      <c r="X18" s="1304" t="s">
        <v>841</v>
      </c>
      <c r="Y18" s="604"/>
      <c r="Z18" s="606" t="s">
        <v>1651</v>
      </c>
      <c r="AA18" s="1309" t="s">
        <v>1753</v>
      </c>
      <c r="AB18" s="1323" t="s">
        <v>2247</v>
      </c>
      <c r="AC18" s="579">
        <v>12.22</v>
      </c>
      <c r="AD18" s="1323" t="s">
        <v>2248</v>
      </c>
      <c r="AE18" s="1304" t="s">
        <v>840</v>
      </c>
      <c r="AF18" s="1304" t="s">
        <v>841</v>
      </c>
      <c r="AG18" s="553"/>
      <c r="AH18" s="1312" t="s">
        <v>1514</v>
      </c>
      <c r="AI18" s="1313" t="s">
        <v>1754</v>
      </c>
      <c r="AJ18" s="534" t="s">
        <v>855</v>
      </c>
      <c r="AK18" s="537">
        <v>12.14</v>
      </c>
      <c r="AL18" s="534" t="s">
        <v>863</v>
      </c>
      <c r="AM18" s="1311" t="s">
        <v>840</v>
      </c>
      <c r="AN18" s="1304" t="s">
        <v>841</v>
      </c>
      <c r="AO18" s="543"/>
      <c r="AP18" s="1312" t="s">
        <v>1559</v>
      </c>
      <c r="AQ18" s="1313" t="s">
        <v>1754</v>
      </c>
      <c r="AR18" s="1323" t="s">
        <v>2231</v>
      </c>
      <c r="AS18" s="537">
        <v>12.4</v>
      </c>
      <c r="AT18" s="1323" t="s">
        <v>2250</v>
      </c>
      <c r="AU18" s="1311" t="s">
        <v>840</v>
      </c>
      <c r="AV18" s="1311" t="s">
        <v>841</v>
      </c>
      <c r="AW18" s="553"/>
      <c r="AX18" s="1308" t="s">
        <v>1516</v>
      </c>
      <c r="AY18" s="1070" t="s">
        <v>1755</v>
      </c>
      <c r="AZ18" s="1496" t="s">
        <v>9</v>
      </c>
      <c r="BA18" s="579">
        <v>13.07</v>
      </c>
      <c r="BB18" s="1496" t="s">
        <v>90</v>
      </c>
      <c r="BC18" s="1304" t="s">
        <v>840</v>
      </c>
      <c r="BD18" s="1304" t="s">
        <v>841</v>
      </c>
      <c r="BE18" s="605"/>
      <c r="BF18" s="1312" t="s">
        <v>1566</v>
      </c>
      <c r="BG18" s="1314" t="s">
        <v>1884</v>
      </c>
      <c r="BH18" s="1315" t="s">
        <v>2232</v>
      </c>
      <c r="BI18" s="537">
        <v>12.48</v>
      </c>
      <c r="BJ18" s="1315" t="s">
        <v>2233</v>
      </c>
      <c r="BK18" s="1311" t="s">
        <v>840</v>
      </c>
      <c r="BL18" s="1311" t="s">
        <v>841</v>
      </c>
    </row>
    <row r="19" spans="1:64" s="480" customFormat="1" ht="11.25" customHeight="1">
      <c r="B19" s="499" t="s">
        <v>1514</v>
      </c>
      <c r="C19" s="675" t="s">
        <v>2202</v>
      </c>
      <c r="D19" s="42" t="s">
        <v>2818</v>
      </c>
      <c r="E19" s="43">
        <v>6.54</v>
      </c>
      <c r="F19" s="42" t="s">
        <v>2819</v>
      </c>
      <c r="G19" s="671" t="s">
        <v>840</v>
      </c>
      <c r="H19" s="509" t="s">
        <v>841</v>
      </c>
      <c r="I19" s="470"/>
      <c r="J19" s="471" t="s">
        <v>1545</v>
      </c>
      <c r="K19" s="674" t="s">
        <v>1752</v>
      </c>
      <c r="L19" s="677" t="s">
        <v>2700</v>
      </c>
      <c r="M19" s="483">
        <v>6.44</v>
      </c>
      <c r="N19" s="677" t="s">
        <v>2738</v>
      </c>
      <c r="O19" s="671" t="s">
        <v>840</v>
      </c>
      <c r="P19" s="671" t="s">
        <v>841</v>
      </c>
      <c r="R19" s="471" t="s">
        <v>1525</v>
      </c>
      <c r="S19" s="672" t="s">
        <v>1753</v>
      </c>
      <c r="T19" s="450" t="s">
        <v>7</v>
      </c>
      <c r="U19" s="20">
        <v>10.23</v>
      </c>
      <c r="V19" s="450" t="s">
        <v>8</v>
      </c>
      <c r="W19" s="509" t="s">
        <v>840</v>
      </c>
      <c r="X19" s="671" t="s">
        <v>841</v>
      </c>
      <c r="Y19" s="485"/>
      <c r="Z19" s="486" t="s">
        <v>1652</v>
      </c>
      <c r="AA19" s="672" t="s">
        <v>1753</v>
      </c>
      <c r="AB19" s="415" t="s">
        <v>2297</v>
      </c>
      <c r="AC19" s="477">
        <v>12.16</v>
      </c>
      <c r="AD19" s="415" t="s">
        <v>2298</v>
      </c>
      <c r="AE19" s="671" t="s">
        <v>840</v>
      </c>
      <c r="AF19" s="671" t="s">
        <v>841</v>
      </c>
      <c r="AG19" s="315"/>
      <c r="AH19" s="481" t="s">
        <v>1515</v>
      </c>
      <c r="AI19" s="673" t="s">
        <v>1754</v>
      </c>
      <c r="AJ19" s="42" t="s">
        <v>1346</v>
      </c>
      <c r="AK19" s="43">
        <v>12.14</v>
      </c>
      <c r="AL19" s="42" t="s">
        <v>1347</v>
      </c>
      <c r="AM19" s="509" t="s">
        <v>840</v>
      </c>
      <c r="AN19" s="671" t="s">
        <v>841</v>
      </c>
      <c r="AO19" s="315"/>
      <c r="AP19" s="481" t="s">
        <v>1560</v>
      </c>
      <c r="AQ19" s="673" t="s">
        <v>1883</v>
      </c>
      <c r="AR19" s="415" t="s">
        <v>2249</v>
      </c>
      <c r="AS19" s="43">
        <v>12.4</v>
      </c>
      <c r="AT19" s="415" t="s">
        <v>2251</v>
      </c>
      <c r="AU19" s="509" t="s">
        <v>840</v>
      </c>
      <c r="AV19" s="509" t="s">
        <v>841</v>
      </c>
      <c r="AW19" s="451"/>
      <c r="AX19" s="963" t="s">
        <v>1517</v>
      </c>
      <c r="AY19" s="675" t="s">
        <v>1755</v>
      </c>
      <c r="AZ19" s="409" t="s">
        <v>12</v>
      </c>
      <c r="BA19" s="477">
        <v>13.07</v>
      </c>
      <c r="BB19" s="409" t="s">
        <v>13</v>
      </c>
      <c r="BC19" s="671" t="s">
        <v>840</v>
      </c>
      <c r="BD19" s="671" t="s">
        <v>841</v>
      </c>
      <c r="BE19" s="315"/>
      <c r="BF19" s="963" t="s">
        <v>1567</v>
      </c>
      <c r="BG19" s="675" t="s">
        <v>1884</v>
      </c>
      <c r="BH19" s="961" t="s">
        <v>2252</v>
      </c>
      <c r="BI19" s="483">
        <v>12.48</v>
      </c>
      <c r="BJ19" s="961" t="s">
        <v>2253</v>
      </c>
      <c r="BK19" s="671" t="s">
        <v>840</v>
      </c>
      <c r="BL19" s="671" t="s">
        <v>841</v>
      </c>
    </row>
    <row r="20" spans="1:64" s="315" customFormat="1" ht="9.75" customHeight="1">
      <c r="A20" s="543"/>
      <c r="B20" s="1325" t="s">
        <v>1515</v>
      </c>
      <c r="C20" s="1070" t="s">
        <v>2202</v>
      </c>
      <c r="D20" s="534" t="s">
        <v>2032</v>
      </c>
      <c r="E20" s="534">
        <v>5.99</v>
      </c>
      <c r="F20" s="534" t="s">
        <v>2820</v>
      </c>
      <c r="G20" s="1304" t="s">
        <v>840</v>
      </c>
      <c r="H20" s="1311" t="s">
        <v>841</v>
      </c>
      <c r="I20" s="581"/>
      <c r="J20" s="1302" t="s">
        <v>1546</v>
      </c>
      <c r="K20" s="1314" t="s">
        <v>1752</v>
      </c>
      <c r="L20" s="1305" t="s">
        <v>2701</v>
      </c>
      <c r="M20" s="531">
        <v>5.89</v>
      </c>
      <c r="N20" s="1305" t="s">
        <v>2739</v>
      </c>
      <c r="O20" s="1304" t="s">
        <v>840</v>
      </c>
      <c r="P20" s="1304" t="s">
        <v>841</v>
      </c>
      <c r="Q20" s="1328"/>
      <c r="R20" s="1302" t="s">
        <v>1526</v>
      </c>
      <c r="S20" s="1309" t="s">
        <v>1753</v>
      </c>
      <c r="T20" s="576" t="s">
        <v>10</v>
      </c>
      <c r="U20" s="580">
        <v>10.050000000000001</v>
      </c>
      <c r="V20" s="576" t="s">
        <v>11</v>
      </c>
      <c r="W20" s="1311" t="s">
        <v>840</v>
      </c>
      <c r="X20" s="1304" t="s">
        <v>841</v>
      </c>
      <c r="Y20" s="553"/>
      <c r="Z20" s="1318" t="s">
        <v>1653</v>
      </c>
      <c r="AA20" s="1309" t="s">
        <v>1753</v>
      </c>
      <c r="AB20" s="1323" t="s">
        <v>2326</v>
      </c>
      <c r="AC20" s="579">
        <v>11.75</v>
      </c>
      <c r="AD20" s="1323" t="s">
        <v>2327</v>
      </c>
      <c r="AE20" s="1304" t="s">
        <v>840</v>
      </c>
      <c r="AF20" s="1304" t="s">
        <v>841</v>
      </c>
      <c r="AG20" s="553"/>
      <c r="AH20" s="1312" t="s">
        <v>1516</v>
      </c>
      <c r="AI20" s="1313" t="s">
        <v>1754</v>
      </c>
      <c r="AJ20" s="534" t="s">
        <v>1348</v>
      </c>
      <c r="AK20" s="537">
        <v>12.14</v>
      </c>
      <c r="AL20" s="534" t="s">
        <v>1349</v>
      </c>
      <c r="AM20" s="1311" t="s">
        <v>840</v>
      </c>
      <c r="AN20" s="1304" t="s">
        <v>841</v>
      </c>
      <c r="AO20" s="543"/>
      <c r="AP20" s="1312" t="s">
        <v>1561</v>
      </c>
      <c r="AQ20" s="1313" t="s">
        <v>1883</v>
      </c>
      <c r="AR20" s="1323" t="s">
        <v>2281</v>
      </c>
      <c r="AS20" s="537">
        <v>12.42</v>
      </c>
      <c r="AT20" s="1323" t="s">
        <v>2282</v>
      </c>
      <c r="AU20" s="1311" t="s">
        <v>840</v>
      </c>
      <c r="AV20" s="1311" t="s">
        <v>841</v>
      </c>
      <c r="AW20" s="604"/>
      <c r="AX20" s="1312" t="s">
        <v>1518</v>
      </c>
      <c r="AY20" s="1314" t="s">
        <v>1755</v>
      </c>
      <c r="AZ20" s="576" t="s">
        <v>16</v>
      </c>
      <c r="BA20" s="580">
        <v>13.07</v>
      </c>
      <c r="BB20" s="576" t="s">
        <v>17</v>
      </c>
      <c r="BC20" s="1311" t="s">
        <v>840</v>
      </c>
      <c r="BD20" s="1311" t="s">
        <v>841</v>
      </c>
      <c r="BE20" s="543"/>
      <c r="BF20" s="1308" t="s">
        <v>1568</v>
      </c>
      <c r="BG20" s="1070" t="s">
        <v>1884</v>
      </c>
      <c r="BH20" s="1317" t="s">
        <v>2285</v>
      </c>
      <c r="BI20" s="531">
        <v>12.48</v>
      </c>
      <c r="BJ20" s="1317" t="s">
        <v>2286</v>
      </c>
      <c r="BK20" s="1304" t="s">
        <v>840</v>
      </c>
      <c r="BL20" s="1304" t="s">
        <v>841</v>
      </c>
    </row>
    <row r="21" spans="1:64" s="480" customFormat="1" ht="11.25" customHeight="1">
      <c r="B21" s="499" t="s">
        <v>1516</v>
      </c>
      <c r="C21" s="675" t="s">
        <v>2202</v>
      </c>
      <c r="D21" s="42" t="s">
        <v>2033</v>
      </c>
      <c r="E21" s="43">
        <v>5.39</v>
      </c>
      <c r="F21" s="42" t="s">
        <v>2845</v>
      </c>
      <c r="G21" s="671" t="s">
        <v>840</v>
      </c>
      <c r="H21" s="509" t="s">
        <v>841</v>
      </c>
      <c r="I21" s="470"/>
      <c r="J21" s="1008" t="s">
        <v>1547</v>
      </c>
      <c r="K21" s="674" t="s">
        <v>1752</v>
      </c>
      <c r="L21" s="677" t="s">
        <v>2736</v>
      </c>
      <c r="M21" s="483">
        <v>5.94</v>
      </c>
      <c r="N21" s="677" t="s">
        <v>2740</v>
      </c>
      <c r="O21" s="671" t="s">
        <v>840</v>
      </c>
      <c r="P21" s="671" t="s">
        <v>841</v>
      </c>
      <c r="R21" s="471" t="s">
        <v>1527</v>
      </c>
      <c r="S21" s="672" t="s">
        <v>1753</v>
      </c>
      <c r="T21" s="450" t="s">
        <v>14</v>
      </c>
      <c r="U21" s="20">
        <v>9.4499999999999993</v>
      </c>
      <c r="V21" s="450" t="s">
        <v>15</v>
      </c>
      <c r="W21" s="509" t="s">
        <v>840</v>
      </c>
      <c r="X21" s="671" t="s">
        <v>841</v>
      </c>
      <c r="Y21" s="1062"/>
      <c r="Z21" s="486" t="s">
        <v>1654</v>
      </c>
      <c r="AA21" s="672" t="s">
        <v>1753</v>
      </c>
      <c r="AB21" s="415" t="s">
        <v>2373</v>
      </c>
      <c r="AC21" s="477">
        <v>11.59</v>
      </c>
      <c r="AD21" s="415" t="s">
        <v>2374</v>
      </c>
      <c r="AE21" s="671" t="s">
        <v>840</v>
      </c>
      <c r="AF21" s="671" t="s">
        <v>841</v>
      </c>
      <c r="AG21" s="451"/>
      <c r="AH21" s="481" t="s">
        <v>1517</v>
      </c>
      <c r="AI21" s="673" t="s">
        <v>1754</v>
      </c>
      <c r="AJ21" s="42" t="s">
        <v>1350</v>
      </c>
      <c r="AK21" s="43">
        <v>12.14</v>
      </c>
      <c r="AL21" s="42" t="s">
        <v>1351</v>
      </c>
      <c r="AM21" s="509" t="s">
        <v>840</v>
      </c>
      <c r="AN21" s="671" t="s">
        <v>841</v>
      </c>
      <c r="AP21" s="481" t="s">
        <v>1562</v>
      </c>
      <c r="AQ21" s="673" t="s">
        <v>1883</v>
      </c>
      <c r="AR21" s="415" t="s">
        <v>2283</v>
      </c>
      <c r="AS21" s="43">
        <v>12.42</v>
      </c>
      <c r="AT21" s="415" t="s">
        <v>2284</v>
      </c>
      <c r="AU21" s="509" t="s">
        <v>840</v>
      </c>
      <c r="AV21" s="509" t="s">
        <v>841</v>
      </c>
      <c r="AW21" s="450"/>
      <c r="AX21" s="481" t="s">
        <v>1519</v>
      </c>
      <c r="AY21" s="674" t="s">
        <v>1755</v>
      </c>
      <c r="AZ21" s="450" t="s">
        <v>20</v>
      </c>
      <c r="BA21" s="20">
        <v>13.07</v>
      </c>
      <c r="BB21" s="450" t="s">
        <v>21</v>
      </c>
      <c r="BC21" s="509" t="s">
        <v>840</v>
      </c>
      <c r="BD21" s="509" t="s">
        <v>841</v>
      </c>
      <c r="BE21" s="315"/>
      <c r="BF21" s="481" t="s">
        <v>1569</v>
      </c>
      <c r="BG21" s="674" t="s">
        <v>1884</v>
      </c>
      <c r="BH21" s="416" t="s">
        <v>2287</v>
      </c>
      <c r="BI21" s="43">
        <v>12.48</v>
      </c>
      <c r="BJ21" s="416" t="s">
        <v>2288</v>
      </c>
      <c r="BK21" s="509" t="s">
        <v>840</v>
      </c>
      <c r="BL21" s="509" t="s">
        <v>841</v>
      </c>
    </row>
    <row r="22" spans="1:64" s="480" customFormat="1" ht="9.75" customHeight="1">
      <c r="A22" s="605"/>
      <c r="B22" s="1325" t="s">
        <v>1517</v>
      </c>
      <c r="C22" s="1070" t="s">
        <v>2202</v>
      </c>
      <c r="D22" s="534" t="s">
        <v>2034</v>
      </c>
      <c r="E22" s="537">
        <v>5.24</v>
      </c>
      <c r="F22" s="534" t="s">
        <v>2883</v>
      </c>
      <c r="G22" s="1304" t="s">
        <v>840</v>
      </c>
      <c r="H22" s="1311" t="s">
        <v>841</v>
      </c>
      <c r="I22" s="581"/>
      <c r="J22" s="1316" t="s">
        <v>1548</v>
      </c>
      <c r="K22" s="1314" t="s">
        <v>1752</v>
      </c>
      <c r="L22" s="1305" t="s">
        <v>2776</v>
      </c>
      <c r="M22" s="531">
        <v>6.25</v>
      </c>
      <c r="N22" s="1305" t="s">
        <v>2777</v>
      </c>
      <c r="O22" s="1304" t="s">
        <v>840</v>
      </c>
      <c r="P22" s="1304" t="s">
        <v>841</v>
      </c>
      <c r="Q22" s="605"/>
      <c r="R22" s="1302" t="s">
        <v>1528</v>
      </c>
      <c r="S22" s="1309" t="s">
        <v>1753</v>
      </c>
      <c r="T22" s="576" t="s">
        <v>18</v>
      </c>
      <c r="U22" s="580">
        <v>8.74</v>
      </c>
      <c r="V22" s="576" t="s">
        <v>19</v>
      </c>
      <c r="W22" s="1311" t="s">
        <v>840</v>
      </c>
      <c r="X22" s="1304" t="s">
        <v>841</v>
      </c>
      <c r="Y22" s="553"/>
      <c r="Z22" s="1318" t="s">
        <v>1655</v>
      </c>
      <c r="AA22" s="1309" t="s">
        <v>1753</v>
      </c>
      <c r="AB22" s="1323" t="s">
        <v>2421</v>
      </c>
      <c r="AC22" s="579">
        <v>10.92</v>
      </c>
      <c r="AD22" s="1323" t="s">
        <v>2422</v>
      </c>
      <c r="AE22" s="1304" t="s">
        <v>840</v>
      </c>
      <c r="AF22" s="1304" t="s">
        <v>841</v>
      </c>
      <c r="AG22" s="605"/>
      <c r="AH22" s="1312" t="s">
        <v>1518</v>
      </c>
      <c r="AI22" s="1313" t="s">
        <v>1754</v>
      </c>
      <c r="AJ22" s="534" t="s">
        <v>1352</v>
      </c>
      <c r="AK22" s="537">
        <v>12.14</v>
      </c>
      <c r="AL22" s="534" t="s">
        <v>1353</v>
      </c>
      <c r="AM22" s="609" t="s">
        <v>840</v>
      </c>
      <c r="AN22" s="1304" t="s">
        <v>841</v>
      </c>
      <c r="AO22" s="605"/>
      <c r="AP22" s="1312" t="s">
        <v>1563</v>
      </c>
      <c r="AQ22" s="1313" t="s">
        <v>1883</v>
      </c>
      <c r="AR22" s="1323" t="s">
        <v>2299</v>
      </c>
      <c r="AS22" s="537">
        <v>12.29</v>
      </c>
      <c r="AT22" s="1323" t="s">
        <v>2300</v>
      </c>
      <c r="AU22" s="1311" t="s">
        <v>840</v>
      </c>
      <c r="AV22" s="1311" t="s">
        <v>841</v>
      </c>
      <c r="AW22" s="576"/>
      <c r="AX22" s="1308" t="s">
        <v>1520</v>
      </c>
      <c r="AY22" s="1070" t="s">
        <v>1755</v>
      </c>
      <c r="AZ22" s="530" t="s">
        <v>24</v>
      </c>
      <c r="BA22" s="530">
        <v>11.09</v>
      </c>
      <c r="BB22" s="530" t="s">
        <v>25</v>
      </c>
      <c r="BC22" s="1304" t="s">
        <v>840</v>
      </c>
      <c r="BD22" s="1304" t="s">
        <v>841</v>
      </c>
      <c r="BE22" s="605"/>
      <c r="BF22" s="1312" t="s">
        <v>1570</v>
      </c>
      <c r="BG22" s="1314" t="s">
        <v>1884</v>
      </c>
      <c r="BH22" s="1315" t="s">
        <v>2301</v>
      </c>
      <c r="BI22" s="537">
        <v>12.33</v>
      </c>
      <c r="BJ22" s="1315" t="s">
        <v>2302</v>
      </c>
      <c r="BK22" s="1311" t="s">
        <v>840</v>
      </c>
      <c r="BL22" s="1311" t="s">
        <v>841</v>
      </c>
    </row>
    <row r="23" spans="1:64" s="480" customFormat="1" ht="9.75" customHeight="1">
      <c r="B23" s="499" t="s">
        <v>1518</v>
      </c>
      <c r="C23" s="675" t="s">
        <v>2202</v>
      </c>
      <c r="D23" s="42" t="s">
        <v>2035</v>
      </c>
      <c r="E23" s="43">
        <v>4.54</v>
      </c>
      <c r="F23" s="42" t="s">
        <v>2912</v>
      </c>
      <c r="G23" s="671" t="s">
        <v>840</v>
      </c>
      <c r="H23" s="509" t="s">
        <v>841</v>
      </c>
      <c r="I23" s="484"/>
      <c r="J23" s="1008" t="s">
        <v>1549</v>
      </c>
      <c r="K23" s="674" t="s">
        <v>1752</v>
      </c>
      <c r="L23" s="677" t="s">
        <v>2796</v>
      </c>
      <c r="M23" s="483">
        <v>6.24</v>
      </c>
      <c r="N23" s="677" t="s">
        <v>2797</v>
      </c>
      <c r="O23" s="671" t="s">
        <v>840</v>
      </c>
      <c r="P23" s="671" t="s">
        <v>841</v>
      </c>
      <c r="R23" s="471" t="s">
        <v>1529</v>
      </c>
      <c r="S23" s="672" t="s">
        <v>1753</v>
      </c>
      <c r="T23" s="450" t="s">
        <v>22</v>
      </c>
      <c r="U23" s="20">
        <v>8.49</v>
      </c>
      <c r="V23" s="450" t="s">
        <v>23</v>
      </c>
      <c r="W23" s="509" t="s">
        <v>840</v>
      </c>
      <c r="X23" s="671" t="s">
        <v>841</v>
      </c>
      <c r="Y23" s="485"/>
      <c r="Z23" s="486" t="s">
        <v>1656</v>
      </c>
      <c r="AA23" s="672" t="s">
        <v>1753</v>
      </c>
      <c r="AB23" s="415" t="s">
        <v>2546</v>
      </c>
      <c r="AC23" s="477">
        <v>10.72</v>
      </c>
      <c r="AD23" s="415" t="s">
        <v>2547</v>
      </c>
      <c r="AE23" s="671" t="s">
        <v>840</v>
      </c>
      <c r="AF23" s="671" t="s">
        <v>841</v>
      </c>
      <c r="AG23" s="451"/>
      <c r="AH23" s="481" t="s">
        <v>1519</v>
      </c>
      <c r="AI23" s="673" t="s">
        <v>1754</v>
      </c>
      <c r="AJ23" s="482" t="s">
        <v>1354</v>
      </c>
      <c r="AK23" s="483">
        <v>10.6</v>
      </c>
      <c r="AL23" s="482" t="s">
        <v>1355</v>
      </c>
      <c r="AM23" s="671" t="s">
        <v>840</v>
      </c>
      <c r="AN23" s="671" t="s">
        <v>841</v>
      </c>
      <c r="AP23" s="481" t="s">
        <v>1564</v>
      </c>
      <c r="AQ23" s="673" t="s">
        <v>1883</v>
      </c>
      <c r="AR23" s="415" t="s">
        <v>2313</v>
      </c>
      <c r="AS23" s="43">
        <v>12.29</v>
      </c>
      <c r="AT23" s="415" t="s">
        <v>2314</v>
      </c>
      <c r="AU23" s="509" t="s">
        <v>840</v>
      </c>
      <c r="AV23" s="509" t="s">
        <v>841</v>
      </c>
      <c r="AW23" s="450"/>
      <c r="AX23" s="481" t="s">
        <v>1521</v>
      </c>
      <c r="AY23" s="674" t="s">
        <v>1755</v>
      </c>
      <c r="AZ23" s="450" t="s">
        <v>26</v>
      </c>
      <c r="BA23" s="450">
        <v>10.07</v>
      </c>
      <c r="BB23" s="450" t="s">
        <v>27</v>
      </c>
      <c r="BC23" s="509" t="s">
        <v>840</v>
      </c>
      <c r="BD23" s="509" t="s">
        <v>841</v>
      </c>
      <c r="BE23" s="315"/>
      <c r="BF23" s="481" t="s">
        <v>1571</v>
      </c>
      <c r="BG23" s="674" t="s">
        <v>1884</v>
      </c>
      <c r="BH23" s="416" t="s">
        <v>2313</v>
      </c>
      <c r="BI23" s="43">
        <v>12.33</v>
      </c>
      <c r="BJ23" s="416" t="s">
        <v>2315</v>
      </c>
      <c r="BK23" s="509" t="s">
        <v>840</v>
      </c>
      <c r="BL23" s="509" t="s">
        <v>841</v>
      </c>
    </row>
    <row r="24" spans="1:64" s="315" customFormat="1" ht="9.75" customHeight="1">
      <c r="A24" s="543"/>
      <c r="B24" s="1325" t="s">
        <v>1519</v>
      </c>
      <c r="C24" s="1070" t="s">
        <v>2202</v>
      </c>
      <c r="D24" s="534" t="s">
        <v>2955</v>
      </c>
      <c r="E24" s="537">
        <v>4.4400000000000004</v>
      </c>
      <c r="F24" s="534" t="s">
        <v>2956</v>
      </c>
      <c r="G24" s="1304" t="s">
        <v>840</v>
      </c>
      <c r="H24" s="1311" t="s">
        <v>841</v>
      </c>
      <c r="I24" s="1319"/>
      <c r="J24" s="1316" t="s">
        <v>1550</v>
      </c>
      <c r="K24" s="1314" t="s">
        <v>1752</v>
      </c>
      <c r="L24" s="1305" t="s">
        <v>2821</v>
      </c>
      <c r="M24" s="531">
        <v>6.6</v>
      </c>
      <c r="N24" s="1305" t="s">
        <v>2822</v>
      </c>
      <c r="O24" s="1304" t="s">
        <v>840</v>
      </c>
      <c r="P24" s="1304" t="s">
        <v>841</v>
      </c>
      <c r="Q24" s="1319"/>
      <c r="R24" s="1302" t="s">
        <v>1530</v>
      </c>
      <c r="S24" s="1309" t="s">
        <v>1753</v>
      </c>
      <c r="T24" s="576" t="s">
        <v>928</v>
      </c>
      <c r="U24" s="580">
        <v>8.75</v>
      </c>
      <c r="V24" s="576" t="s">
        <v>929</v>
      </c>
      <c r="W24" s="1311" t="s">
        <v>840</v>
      </c>
      <c r="X24" s="1304" t="s">
        <v>841</v>
      </c>
      <c r="Y24" s="553"/>
      <c r="Z24" s="1318" t="s">
        <v>1714</v>
      </c>
      <c r="AA24" s="1309" t="s">
        <v>1753</v>
      </c>
      <c r="AB24" s="1323" t="s">
        <v>2616</v>
      </c>
      <c r="AC24" s="579">
        <v>9.7899999999999991</v>
      </c>
      <c r="AD24" s="1323" t="s">
        <v>2617</v>
      </c>
      <c r="AE24" s="1304" t="s">
        <v>840</v>
      </c>
      <c r="AF24" s="1304" t="s">
        <v>841</v>
      </c>
      <c r="AG24" s="605"/>
      <c r="AH24" s="1312" t="s">
        <v>1520</v>
      </c>
      <c r="AI24" s="1313" t="s">
        <v>1754</v>
      </c>
      <c r="AJ24" s="530" t="s">
        <v>1356</v>
      </c>
      <c r="AK24" s="531">
        <v>11.09</v>
      </c>
      <c r="AL24" s="530" t="s">
        <v>1357</v>
      </c>
      <c r="AM24" s="1304" t="s">
        <v>840</v>
      </c>
      <c r="AN24" s="1304" t="s">
        <v>841</v>
      </c>
      <c r="AO24" s="605"/>
      <c r="AP24" s="1312" t="s">
        <v>1565</v>
      </c>
      <c r="AQ24" s="1313" t="s">
        <v>1883</v>
      </c>
      <c r="AR24" s="1323" t="s">
        <v>2319</v>
      </c>
      <c r="AS24" s="537">
        <v>12.2</v>
      </c>
      <c r="AT24" s="1323" t="s">
        <v>2321</v>
      </c>
      <c r="AU24" s="1311" t="s">
        <v>840</v>
      </c>
      <c r="AV24" s="1311" t="s">
        <v>841</v>
      </c>
      <c r="AW24" s="576"/>
      <c r="AX24" s="1312" t="s">
        <v>1522</v>
      </c>
      <c r="AY24" s="1314" t="s">
        <v>1755</v>
      </c>
      <c r="AZ24" s="576" t="s">
        <v>28</v>
      </c>
      <c r="BA24" s="576">
        <v>8.9700000000000006</v>
      </c>
      <c r="BB24" s="576" t="s">
        <v>29</v>
      </c>
      <c r="BC24" s="1311" t="s">
        <v>840</v>
      </c>
      <c r="BD24" s="1311" t="s">
        <v>841</v>
      </c>
      <c r="BE24" s="543"/>
      <c r="BF24" s="1308" t="s">
        <v>1572</v>
      </c>
      <c r="BG24" s="1070" t="s">
        <v>1884</v>
      </c>
      <c r="BH24" s="1317" t="s">
        <v>2319</v>
      </c>
      <c r="BI24" s="531">
        <v>12.26</v>
      </c>
      <c r="BJ24" s="1317" t="s">
        <v>2320</v>
      </c>
      <c r="BK24" s="1304" t="s">
        <v>840</v>
      </c>
      <c r="BL24" s="1304" t="s">
        <v>841</v>
      </c>
    </row>
    <row r="25" spans="1:64" s="315" customFormat="1" ht="10.5" customHeight="1">
      <c r="A25" s="315" t="s">
        <v>1300</v>
      </c>
      <c r="B25" s="499" t="s">
        <v>1500</v>
      </c>
      <c r="C25" s="675" t="s">
        <v>1752</v>
      </c>
      <c r="D25" s="482" t="s">
        <v>2036</v>
      </c>
      <c r="E25" s="483">
        <v>11.3</v>
      </c>
      <c r="F25" s="482" t="s">
        <v>1326</v>
      </c>
      <c r="G25" s="671" t="s">
        <v>840</v>
      </c>
      <c r="H25" s="509" t="s">
        <v>841</v>
      </c>
      <c r="I25" s="484"/>
      <c r="J25" s="1008" t="s">
        <v>1551</v>
      </c>
      <c r="K25" s="674" t="s">
        <v>1752</v>
      </c>
      <c r="L25" s="677" t="s">
        <v>2818</v>
      </c>
      <c r="M25" s="483">
        <v>7.09</v>
      </c>
      <c r="N25" s="677" t="s">
        <v>1712</v>
      </c>
      <c r="O25" s="671" t="s">
        <v>840</v>
      </c>
      <c r="P25" s="671" t="s">
        <v>841</v>
      </c>
      <c r="Q25" s="484"/>
      <c r="R25" s="471" t="s">
        <v>1531</v>
      </c>
      <c r="S25" s="672" t="s">
        <v>1753</v>
      </c>
      <c r="T25" s="450" t="s">
        <v>930</v>
      </c>
      <c r="U25" s="20">
        <v>8.75</v>
      </c>
      <c r="V25" s="450" t="s">
        <v>931</v>
      </c>
      <c r="W25" s="509" t="s">
        <v>840</v>
      </c>
      <c r="X25" s="671" t="s">
        <v>841</v>
      </c>
      <c r="Y25" s="451"/>
      <c r="Z25" s="486" t="s">
        <v>1715</v>
      </c>
      <c r="AA25" s="672" t="s">
        <v>1753</v>
      </c>
      <c r="AB25" s="415" t="s">
        <v>2627</v>
      </c>
      <c r="AC25" s="477">
        <v>8.18</v>
      </c>
      <c r="AD25" s="415" t="s">
        <v>2628</v>
      </c>
      <c r="AE25" s="671" t="s">
        <v>840</v>
      </c>
      <c r="AF25" s="671" t="s">
        <v>841</v>
      </c>
      <c r="AH25" s="481" t="s">
        <v>1521</v>
      </c>
      <c r="AI25" s="673" t="s">
        <v>1754</v>
      </c>
      <c r="AJ25" s="482" t="s">
        <v>1358</v>
      </c>
      <c r="AK25" s="483">
        <v>9.39</v>
      </c>
      <c r="AL25" s="482" t="s">
        <v>1359</v>
      </c>
      <c r="AM25" s="671" t="s">
        <v>840</v>
      </c>
      <c r="AN25" s="671" t="s">
        <v>841</v>
      </c>
      <c r="AO25" s="480"/>
      <c r="AP25" s="481" t="s">
        <v>1566</v>
      </c>
      <c r="AQ25" s="673" t="s">
        <v>1883</v>
      </c>
      <c r="AR25" s="415" t="s">
        <v>2323</v>
      </c>
      <c r="AS25" s="43">
        <v>12.1</v>
      </c>
      <c r="AT25" s="415" t="s">
        <v>2325</v>
      </c>
      <c r="AU25" s="509" t="s">
        <v>840</v>
      </c>
      <c r="AV25" s="509" t="s">
        <v>841</v>
      </c>
      <c r="AW25" s="450"/>
      <c r="AX25" s="481" t="s">
        <v>1523</v>
      </c>
      <c r="AY25" s="674" t="s">
        <v>1755</v>
      </c>
      <c r="AZ25" s="450" t="s">
        <v>30</v>
      </c>
      <c r="BA25" s="20">
        <v>8.59</v>
      </c>
      <c r="BB25" s="450" t="s">
        <v>31</v>
      </c>
      <c r="BC25" s="509" t="s">
        <v>840</v>
      </c>
      <c r="BD25" s="509" t="s">
        <v>841</v>
      </c>
      <c r="BF25" s="481" t="s">
        <v>1573</v>
      </c>
      <c r="BG25" s="674" t="s">
        <v>1884</v>
      </c>
      <c r="BH25" s="416" t="s">
        <v>2323</v>
      </c>
      <c r="BI25" s="43">
        <v>12.24</v>
      </c>
      <c r="BJ25" s="416" t="s">
        <v>2324</v>
      </c>
      <c r="BK25" s="509" t="s">
        <v>840</v>
      </c>
      <c r="BL25" s="509" t="s">
        <v>841</v>
      </c>
    </row>
    <row r="26" spans="1:64" s="315" customFormat="1" ht="9.75" customHeight="1">
      <c r="A26" s="543"/>
      <c r="B26" s="1302" t="s">
        <v>1501</v>
      </c>
      <c r="C26" s="1314" t="s">
        <v>1752</v>
      </c>
      <c r="D26" s="1305" t="s">
        <v>2037</v>
      </c>
      <c r="E26" s="531">
        <v>11.37</v>
      </c>
      <c r="F26" s="1305" t="s">
        <v>2038</v>
      </c>
      <c r="G26" s="1311" t="s">
        <v>840</v>
      </c>
      <c r="H26" s="1311" t="s">
        <v>841</v>
      </c>
      <c r="I26" s="1319"/>
      <c r="J26" s="1306" t="s">
        <v>1552</v>
      </c>
      <c r="K26" s="1314" t="s">
        <v>1752</v>
      </c>
      <c r="L26" s="1305" t="s">
        <v>2823</v>
      </c>
      <c r="M26" s="531">
        <v>6.54</v>
      </c>
      <c r="N26" s="1305" t="s">
        <v>1713</v>
      </c>
      <c r="O26" s="1304" t="s">
        <v>840</v>
      </c>
      <c r="P26" s="1304" t="s">
        <v>841</v>
      </c>
      <c r="Q26" s="1319"/>
      <c r="R26" s="1302" t="s">
        <v>1532</v>
      </c>
      <c r="S26" s="1309" t="s">
        <v>1753</v>
      </c>
      <c r="T26" s="576" t="s">
        <v>932</v>
      </c>
      <c r="U26" s="580">
        <v>8.75</v>
      </c>
      <c r="V26" s="576" t="s">
        <v>933</v>
      </c>
      <c r="W26" s="1311" t="s">
        <v>840</v>
      </c>
      <c r="X26" s="1304" t="s">
        <v>841</v>
      </c>
      <c r="Y26" s="605"/>
      <c r="Z26" s="1318" t="s">
        <v>1716</v>
      </c>
      <c r="AA26" s="1309" t="s">
        <v>1753</v>
      </c>
      <c r="AB26" s="1323" t="s">
        <v>2658</v>
      </c>
      <c r="AC26" s="579">
        <v>6.79</v>
      </c>
      <c r="AD26" s="1323" t="s">
        <v>2659</v>
      </c>
      <c r="AE26" s="1304" t="s">
        <v>840</v>
      </c>
      <c r="AF26" s="1304" t="s">
        <v>841</v>
      </c>
      <c r="AG26" s="1630"/>
      <c r="AH26" s="1312" t="s">
        <v>1522</v>
      </c>
      <c r="AI26" s="1313" t="s">
        <v>1754</v>
      </c>
      <c r="AJ26" s="530" t="s">
        <v>1360</v>
      </c>
      <c r="AK26" s="531">
        <v>8.59</v>
      </c>
      <c r="AL26" s="530" t="s">
        <v>1361</v>
      </c>
      <c r="AM26" s="1304" t="s">
        <v>840</v>
      </c>
      <c r="AN26" s="1304" t="s">
        <v>841</v>
      </c>
      <c r="AO26" s="605"/>
      <c r="AP26" s="1312" t="s">
        <v>1567</v>
      </c>
      <c r="AQ26" s="1313" t="s">
        <v>1883</v>
      </c>
      <c r="AR26" s="1323" t="s">
        <v>2335</v>
      </c>
      <c r="AS26" s="537">
        <v>12</v>
      </c>
      <c r="AT26" s="1323" t="s">
        <v>2336</v>
      </c>
      <c r="AU26" s="1311" t="s">
        <v>840</v>
      </c>
      <c r="AV26" s="1311" t="s">
        <v>841</v>
      </c>
      <c r="AW26" s="576"/>
      <c r="AX26" s="1312" t="s">
        <v>1524</v>
      </c>
      <c r="AY26" s="1314" t="s">
        <v>1755</v>
      </c>
      <c r="AZ26" s="576" t="s">
        <v>945</v>
      </c>
      <c r="BA26" s="580">
        <v>9.1</v>
      </c>
      <c r="BB26" s="576" t="s">
        <v>946</v>
      </c>
      <c r="BC26" s="1311" t="s">
        <v>840</v>
      </c>
      <c r="BD26" s="1311" t="s">
        <v>841</v>
      </c>
      <c r="BE26" s="543"/>
      <c r="BF26" s="1312" t="s">
        <v>1651</v>
      </c>
      <c r="BG26" s="1314" t="s">
        <v>1884</v>
      </c>
      <c r="BH26" s="1315" t="s">
        <v>2335</v>
      </c>
      <c r="BI26" s="537">
        <v>12.14</v>
      </c>
      <c r="BJ26" s="1315" t="s">
        <v>2339</v>
      </c>
      <c r="BK26" s="1311" t="s">
        <v>840</v>
      </c>
      <c r="BL26" s="1311" t="s">
        <v>841</v>
      </c>
    </row>
    <row r="27" spans="1:64" s="315" customFormat="1" ht="10.5" customHeight="1">
      <c r="A27" s="418"/>
      <c r="B27" s="471" t="s">
        <v>1502</v>
      </c>
      <c r="C27" s="674" t="s">
        <v>1752</v>
      </c>
      <c r="D27" s="677" t="s">
        <v>2039</v>
      </c>
      <c r="E27" s="483">
        <v>11.4</v>
      </c>
      <c r="F27" s="677" t="s">
        <v>1327</v>
      </c>
      <c r="G27" s="671" t="s">
        <v>840</v>
      </c>
      <c r="H27" s="509" t="s">
        <v>841</v>
      </c>
      <c r="I27" s="470"/>
      <c r="J27" s="487" t="s">
        <v>1553</v>
      </c>
      <c r="K27" s="674" t="s">
        <v>1752</v>
      </c>
      <c r="L27" s="42" t="s">
        <v>2884</v>
      </c>
      <c r="M27" s="43">
        <v>6.14</v>
      </c>
      <c r="N27" s="42" t="s">
        <v>2885</v>
      </c>
      <c r="O27" s="671" t="s">
        <v>840</v>
      </c>
      <c r="P27" s="671" t="s">
        <v>841</v>
      </c>
      <c r="Q27" s="484"/>
      <c r="R27" s="471" t="s">
        <v>1533</v>
      </c>
      <c r="S27" s="672" t="s">
        <v>1753</v>
      </c>
      <c r="T27" s="450" t="s">
        <v>934</v>
      </c>
      <c r="U27" s="20">
        <v>8.77</v>
      </c>
      <c r="V27" s="450" t="s">
        <v>1371</v>
      </c>
      <c r="W27" s="509" t="s">
        <v>840</v>
      </c>
      <c r="X27" s="671" t="s">
        <v>841</v>
      </c>
      <c r="Z27" s="486" t="s">
        <v>1717</v>
      </c>
      <c r="AA27" s="672" t="s">
        <v>1753</v>
      </c>
      <c r="AB27" s="415" t="s">
        <v>2668</v>
      </c>
      <c r="AC27" s="477">
        <v>7.4</v>
      </c>
      <c r="AD27" s="415" t="s">
        <v>2675</v>
      </c>
      <c r="AE27" s="671" t="s">
        <v>840</v>
      </c>
      <c r="AF27" s="671" t="s">
        <v>841</v>
      </c>
      <c r="AG27" s="480"/>
      <c r="AH27" s="481" t="s">
        <v>1523</v>
      </c>
      <c r="AI27" s="673" t="s">
        <v>1754</v>
      </c>
      <c r="AJ27" s="482" t="s">
        <v>1362</v>
      </c>
      <c r="AK27" s="483">
        <v>8.8000000000000007</v>
      </c>
      <c r="AL27" s="482" t="s">
        <v>1363</v>
      </c>
      <c r="AM27" s="671" t="s">
        <v>840</v>
      </c>
      <c r="AN27" s="671" t="s">
        <v>841</v>
      </c>
      <c r="AO27" s="480"/>
      <c r="AP27" s="481" t="s">
        <v>1568</v>
      </c>
      <c r="AQ27" s="673" t="s">
        <v>1883</v>
      </c>
      <c r="AR27" s="415" t="s">
        <v>2337</v>
      </c>
      <c r="AS27" s="43">
        <v>11.97</v>
      </c>
      <c r="AT27" s="415" t="s">
        <v>2338</v>
      </c>
      <c r="AU27" s="509" t="s">
        <v>840</v>
      </c>
      <c r="AV27" s="509" t="s">
        <v>841</v>
      </c>
      <c r="AW27" s="450"/>
      <c r="AX27" s="481" t="s">
        <v>1525</v>
      </c>
      <c r="AY27" s="674" t="s">
        <v>1755</v>
      </c>
      <c r="AZ27" s="450" t="s">
        <v>947</v>
      </c>
      <c r="BA27" s="20">
        <v>9.1</v>
      </c>
      <c r="BB27" s="450" t="s">
        <v>948</v>
      </c>
      <c r="BC27" s="509" t="s">
        <v>840</v>
      </c>
      <c r="BD27" s="509" t="s">
        <v>841</v>
      </c>
      <c r="BF27" s="481" t="s">
        <v>1652</v>
      </c>
      <c r="BG27" s="674" t="s">
        <v>1884</v>
      </c>
      <c r="BH27" s="416" t="s">
        <v>2337</v>
      </c>
      <c r="BI27" s="43">
        <v>12.14</v>
      </c>
      <c r="BJ27" s="416" t="s">
        <v>2340</v>
      </c>
      <c r="BK27" s="509" t="s">
        <v>840</v>
      </c>
      <c r="BL27" s="509" t="s">
        <v>841</v>
      </c>
    </row>
    <row r="28" spans="1:64" s="315" customFormat="1" ht="9.75" customHeight="1">
      <c r="A28" s="539"/>
      <c r="B28" s="1302" t="s">
        <v>1503</v>
      </c>
      <c r="C28" s="1314" t="s">
        <v>1752</v>
      </c>
      <c r="D28" s="1305" t="s">
        <v>1843</v>
      </c>
      <c r="E28" s="531">
        <v>11.45</v>
      </c>
      <c r="F28" s="1305" t="s">
        <v>1328</v>
      </c>
      <c r="G28" s="1304" t="s">
        <v>840</v>
      </c>
      <c r="H28" s="1304" t="s">
        <v>841</v>
      </c>
      <c r="I28" s="581"/>
      <c r="J28" s="1306" t="s">
        <v>1554</v>
      </c>
      <c r="K28" s="1314" t="s">
        <v>1752</v>
      </c>
      <c r="L28" s="534" t="s">
        <v>2913</v>
      </c>
      <c r="M28" s="537">
        <v>5.8</v>
      </c>
      <c r="N28" s="534" t="s">
        <v>2914</v>
      </c>
      <c r="O28" s="1304" t="s">
        <v>840</v>
      </c>
      <c r="P28" s="1304" t="s">
        <v>841</v>
      </c>
      <c r="Q28" s="1319"/>
      <c r="R28" s="1302" t="s">
        <v>1534</v>
      </c>
      <c r="S28" s="1309" t="s">
        <v>1753</v>
      </c>
      <c r="T28" s="576" t="s">
        <v>1415</v>
      </c>
      <c r="U28" s="580">
        <v>8.77</v>
      </c>
      <c r="V28" s="576" t="s">
        <v>1416</v>
      </c>
      <c r="W28" s="1311" t="s">
        <v>840</v>
      </c>
      <c r="X28" s="1304" t="s">
        <v>841</v>
      </c>
      <c r="Y28" s="543"/>
      <c r="Z28" s="1318" t="s">
        <v>1718</v>
      </c>
      <c r="AA28" s="1309" t="s">
        <v>1753</v>
      </c>
      <c r="AB28" s="1323" t="s">
        <v>2702</v>
      </c>
      <c r="AC28" s="579">
        <v>7.39</v>
      </c>
      <c r="AD28" s="1323" t="s">
        <v>2703</v>
      </c>
      <c r="AE28" s="1304" t="s">
        <v>840</v>
      </c>
      <c r="AF28" s="1304" t="s">
        <v>841</v>
      </c>
      <c r="AG28" s="605"/>
      <c r="AH28" s="1312" t="s">
        <v>1524</v>
      </c>
      <c r="AI28" s="1313" t="s">
        <v>1754</v>
      </c>
      <c r="AJ28" s="530" t="s">
        <v>935</v>
      </c>
      <c r="AK28" s="531">
        <v>8.69</v>
      </c>
      <c r="AL28" s="530" t="s">
        <v>936</v>
      </c>
      <c r="AM28" s="1304" t="s">
        <v>840</v>
      </c>
      <c r="AN28" s="1304" t="s">
        <v>841</v>
      </c>
      <c r="AO28" s="605"/>
      <c r="AP28" s="1312" t="s">
        <v>1569</v>
      </c>
      <c r="AQ28" s="1313" t="s">
        <v>1883</v>
      </c>
      <c r="AR28" s="1323" t="s">
        <v>2349</v>
      </c>
      <c r="AS28" s="537">
        <v>11.97</v>
      </c>
      <c r="AT28" s="1323" t="s">
        <v>2353</v>
      </c>
      <c r="AU28" s="1311" t="s">
        <v>840</v>
      </c>
      <c r="AV28" s="1311" t="s">
        <v>841</v>
      </c>
      <c r="AW28" s="576"/>
      <c r="AX28" s="1312" t="s">
        <v>1526</v>
      </c>
      <c r="AY28" s="1314" t="s">
        <v>1755</v>
      </c>
      <c r="AZ28" s="576" t="s">
        <v>949</v>
      </c>
      <c r="BA28" s="580">
        <v>9.11</v>
      </c>
      <c r="BB28" s="576" t="s">
        <v>950</v>
      </c>
      <c r="BC28" s="1311" t="s">
        <v>840</v>
      </c>
      <c r="BD28" s="1311" t="s">
        <v>841</v>
      </c>
      <c r="BE28" s="543"/>
      <c r="BF28" s="1312" t="s">
        <v>1653</v>
      </c>
      <c r="BG28" s="1314" t="s">
        <v>1884</v>
      </c>
      <c r="BH28" s="1315" t="s">
        <v>2349</v>
      </c>
      <c r="BI28" s="537">
        <v>12.14</v>
      </c>
      <c r="BJ28" s="1315" t="s">
        <v>2350</v>
      </c>
      <c r="BK28" s="1311" t="s">
        <v>840</v>
      </c>
      <c r="BL28" s="1311" t="s">
        <v>841</v>
      </c>
    </row>
    <row r="29" spans="1:64" s="315" customFormat="1" ht="10.5" customHeight="1">
      <c r="A29" s="450"/>
      <c r="B29" s="471" t="s">
        <v>1504</v>
      </c>
      <c r="C29" s="674" t="s">
        <v>1752</v>
      </c>
      <c r="D29" s="677" t="s">
        <v>2040</v>
      </c>
      <c r="E29" s="483">
        <v>11.45</v>
      </c>
      <c r="F29" s="677" t="s">
        <v>1088</v>
      </c>
      <c r="G29" s="671" t="s">
        <v>840</v>
      </c>
      <c r="H29" s="671" t="s">
        <v>841</v>
      </c>
      <c r="I29" s="470"/>
      <c r="J29" s="487" t="s">
        <v>1555</v>
      </c>
      <c r="K29" s="674" t="s">
        <v>1752</v>
      </c>
      <c r="L29" s="42" t="s">
        <v>2932</v>
      </c>
      <c r="M29" s="43">
        <v>6</v>
      </c>
      <c r="N29" s="42" t="s">
        <v>2127</v>
      </c>
      <c r="O29" s="671" t="s">
        <v>840</v>
      </c>
      <c r="P29" s="671" t="s">
        <v>841</v>
      </c>
      <c r="Q29" s="484"/>
      <c r="R29" s="471" t="s">
        <v>1535</v>
      </c>
      <c r="S29" s="672" t="s">
        <v>1753</v>
      </c>
      <c r="T29" s="450" t="s">
        <v>1417</v>
      </c>
      <c r="U29" s="20">
        <v>8.77</v>
      </c>
      <c r="V29" s="450" t="s">
        <v>1418</v>
      </c>
      <c r="W29" s="509" t="s">
        <v>840</v>
      </c>
      <c r="X29" s="671" t="s">
        <v>841</v>
      </c>
      <c r="Z29" s="486" t="s">
        <v>1719</v>
      </c>
      <c r="AA29" s="672" t="s">
        <v>1753</v>
      </c>
      <c r="AB29" s="415" t="s">
        <v>2709</v>
      </c>
      <c r="AC29" s="477">
        <v>5.95</v>
      </c>
      <c r="AD29" s="415" t="s">
        <v>2710</v>
      </c>
      <c r="AE29" s="671" t="s">
        <v>840</v>
      </c>
      <c r="AF29" s="671" t="s">
        <v>841</v>
      </c>
      <c r="AG29" s="485"/>
      <c r="AH29" s="481" t="s">
        <v>1525</v>
      </c>
      <c r="AI29" s="673" t="s">
        <v>1754</v>
      </c>
      <c r="AJ29" s="482" t="s">
        <v>937</v>
      </c>
      <c r="AK29" s="483">
        <v>8.69</v>
      </c>
      <c r="AL29" s="482" t="s">
        <v>938</v>
      </c>
      <c r="AM29" s="671" t="s">
        <v>840</v>
      </c>
      <c r="AN29" s="671" t="s">
        <v>841</v>
      </c>
      <c r="AO29" s="480"/>
      <c r="AP29" s="481" t="s">
        <v>1570</v>
      </c>
      <c r="AQ29" s="673" t="s">
        <v>1883</v>
      </c>
      <c r="AR29" s="415" t="s">
        <v>2352</v>
      </c>
      <c r="AS29" s="43">
        <v>11.97</v>
      </c>
      <c r="AT29" s="415" t="s">
        <v>2354</v>
      </c>
      <c r="AU29" s="509" t="s">
        <v>840</v>
      </c>
      <c r="AV29" s="509" t="s">
        <v>841</v>
      </c>
      <c r="AW29" s="484"/>
      <c r="AX29" s="481" t="s">
        <v>1527</v>
      </c>
      <c r="AY29" s="674" t="s">
        <v>1755</v>
      </c>
      <c r="AZ29" s="450" t="s">
        <v>951</v>
      </c>
      <c r="BA29" s="20">
        <v>9.15</v>
      </c>
      <c r="BB29" s="450" t="s">
        <v>952</v>
      </c>
      <c r="BC29" s="509" t="s">
        <v>840</v>
      </c>
      <c r="BD29" s="509" t="s">
        <v>841</v>
      </c>
      <c r="BF29" s="481" t="s">
        <v>1654</v>
      </c>
      <c r="BG29" s="674" t="s">
        <v>1884</v>
      </c>
      <c r="BH29" s="416" t="s">
        <v>2352</v>
      </c>
      <c r="BI29" s="43">
        <v>12.12</v>
      </c>
      <c r="BJ29" s="416" t="s">
        <v>2351</v>
      </c>
      <c r="BK29" s="509" t="s">
        <v>840</v>
      </c>
      <c r="BL29" s="509" t="s">
        <v>841</v>
      </c>
    </row>
    <row r="30" spans="1:64" s="315" customFormat="1" ht="10.5" customHeight="1">
      <c r="A30" s="581"/>
      <c r="B30" s="1302" t="s">
        <v>1505</v>
      </c>
      <c r="C30" s="1314" t="s">
        <v>1752</v>
      </c>
      <c r="D30" s="1305" t="s">
        <v>2041</v>
      </c>
      <c r="E30" s="531">
        <v>11.5</v>
      </c>
      <c r="F30" s="1305" t="s">
        <v>1089</v>
      </c>
      <c r="G30" s="1304" t="s">
        <v>840</v>
      </c>
      <c r="H30" s="1304" t="s">
        <v>841</v>
      </c>
      <c r="I30" s="1329"/>
      <c r="J30" s="1306" t="s">
        <v>1556</v>
      </c>
      <c r="K30" s="1314" t="s">
        <v>1752</v>
      </c>
      <c r="L30" s="534" t="s">
        <v>2957</v>
      </c>
      <c r="M30" s="537">
        <v>5.84</v>
      </c>
      <c r="N30" s="534" t="s">
        <v>2129</v>
      </c>
      <c r="O30" s="1304" t="s">
        <v>840</v>
      </c>
      <c r="P30" s="1304" t="s">
        <v>841</v>
      </c>
      <c r="Q30" s="581"/>
      <c r="R30" s="1302" t="s">
        <v>1536</v>
      </c>
      <c r="S30" s="1309" t="s">
        <v>1753</v>
      </c>
      <c r="T30" s="576" t="s">
        <v>1419</v>
      </c>
      <c r="U30" s="580">
        <v>8.7899999999999991</v>
      </c>
      <c r="V30" s="576" t="s">
        <v>1420</v>
      </c>
      <c r="W30" s="1311" t="s">
        <v>840</v>
      </c>
      <c r="X30" s="1304" t="s">
        <v>841</v>
      </c>
      <c r="Y30" s="543"/>
      <c r="Z30" s="1318" t="s">
        <v>1720</v>
      </c>
      <c r="AA30" s="1309" t="s">
        <v>1753</v>
      </c>
      <c r="AB30" s="1323" t="s">
        <v>1414</v>
      </c>
      <c r="AC30" s="579">
        <v>5.95</v>
      </c>
      <c r="AD30" s="1323" t="s">
        <v>2741</v>
      </c>
      <c r="AE30" s="1304" t="s">
        <v>840</v>
      </c>
      <c r="AF30" s="1304" t="s">
        <v>841</v>
      </c>
      <c r="AG30" s="605"/>
      <c r="AH30" s="1312" t="s">
        <v>1526</v>
      </c>
      <c r="AI30" s="1313" t="s">
        <v>1754</v>
      </c>
      <c r="AJ30" s="530" t="s">
        <v>939</v>
      </c>
      <c r="AK30" s="531">
        <v>8.74</v>
      </c>
      <c r="AL30" s="530" t="s">
        <v>940</v>
      </c>
      <c r="AM30" s="1304" t="s">
        <v>840</v>
      </c>
      <c r="AN30" s="1304" t="s">
        <v>841</v>
      </c>
      <c r="AO30" s="605"/>
      <c r="AP30" s="1312" t="s">
        <v>1571</v>
      </c>
      <c r="AQ30" s="1313" t="s">
        <v>1883</v>
      </c>
      <c r="AR30" s="1323" t="s">
        <v>2379</v>
      </c>
      <c r="AS30" s="537">
        <v>11.87</v>
      </c>
      <c r="AT30" s="1323" t="s">
        <v>2380</v>
      </c>
      <c r="AU30" s="1311" t="s">
        <v>840</v>
      </c>
      <c r="AV30" s="1311" t="s">
        <v>841</v>
      </c>
      <c r="AW30" s="543"/>
      <c r="AX30" s="1312" t="s">
        <v>1528</v>
      </c>
      <c r="AY30" s="1314" t="s">
        <v>1755</v>
      </c>
      <c r="AZ30" s="576" t="s">
        <v>1460</v>
      </c>
      <c r="BA30" s="580">
        <v>9.17</v>
      </c>
      <c r="BB30" s="576" t="s">
        <v>1461</v>
      </c>
      <c r="BC30" s="1311" t="s">
        <v>840</v>
      </c>
      <c r="BD30" s="1311" t="s">
        <v>841</v>
      </c>
      <c r="BE30" s="543"/>
      <c r="BF30" s="1312" t="s">
        <v>1655</v>
      </c>
      <c r="BG30" s="1314" t="s">
        <v>1884</v>
      </c>
      <c r="BH30" s="1315" t="s">
        <v>2379</v>
      </c>
      <c r="BI30" s="537">
        <v>12.1</v>
      </c>
      <c r="BJ30" s="1315" t="s">
        <v>2383</v>
      </c>
      <c r="BK30" s="1311" t="s">
        <v>840</v>
      </c>
      <c r="BL30" s="1311" t="s">
        <v>841</v>
      </c>
    </row>
    <row r="31" spans="1:64" s="448" customFormat="1" ht="11.25" customHeight="1">
      <c r="A31" s="470"/>
      <c r="B31" s="471" t="s">
        <v>1506</v>
      </c>
      <c r="C31" s="674" t="s">
        <v>1752</v>
      </c>
      <c r="D31" s="677" t="s">
        <v>2042</v>
      </c>
      <c r="E31" s="483">
        <v>11.55</v>
      </c>
      <c r="F31" s="677" t="s">
        <v>1090</v>
      </c>
      <c r="G31" s="671" t="s">
        <v>840</v>
      </c>
      <c r="H31" s="671" t="s">
        <v>841</v>
      </c>
      <c r="I31" s="488"/>
      <c r="J31" s="487" t="s">
        <v>1557</v>
      </c>
      <c r="K31" s="674" t="s">
        <v>1752</v>
      </c>
      <c r="L31" s="42" t="s">
        <v>2992</v>
      </c>
      <c r="M31" s="43">
        <v>5.0999999999999996</v>
      </c>
      <c r="N31" s="42" t="s">
        <v>2993</v>
      </c>
      <c r="O31" s="671" t="s">
        <v>840</v>
      </c>
      <c r="P31" s="671" t="s">
        <v>841</v>
      </c>
      <c r="Q31" s="470"/>
      <c r="R31" s="471" t="s">
        <v>1537</v>
      </c>
      <c r="S31" s="672" t="s">
        <v>1753</v>
      </c>
      <c r="T31" s="450" t="s">
        <v>1421</v>
      </c>
      <c r="U31" s="20">
        <v>8.7899999999999991</v>
      </c>
      <c r="V31" s="450" t="s">
        <v>1422</v>
      </c>
      <c r="W31" s="509" t="s">
        <v>840</v>
      </c>
      <c r="X31" s="671" t="s">
        <v>841</v>
      </c>
      <c r="Y31" s="315"/>
      <c r="Z31" s="486" t="s">
        <v>1721</v>
      </c>
      <c r="AA31" s="672" t="s">
        <v>1753</v>
      </c>
      <c r="AB31" s="415" t="s">
        <v>1483</v>
      </c>
      <c r="AC31" s="477">
        <v>5.95</v>
      </c>
      <c r="AD31" s="415" t="s">
        <v>2778</v>
      </c>
      <c r="AE31" s="671" t="s">
        <v>840</v>
      </c>
      <c r="AF31" s="671" t="s">
        <v>841</v>
      </c>
      <c r="AG31" s="480"/>
      <c r="AH31" s="481" t="s">
        <v>1527</v>
      </c>
      <c r="AI31" s="673" t="s">
        <v>1754</v>
      </c>
      <c r="AJ31" s="482" t="s">
        <v>941</v>
      </c>
      <c r="AK31" s="483">
        <v>8.74</v>
      </c>
      <c r="AL31" s="482" t="s">
        <v>942</v>
      </c>
      <c r="AM31" s="671" t="s">
        <v>840</v>
      </c>
      <c r="AN31" s="671" t="s">
        <v>841</v>
      </c>
      <c r="AO31" s="480"/>
      <c r="AP31" s="481" t="s">
        <v>1572</v>
      </c>
      <c r="AQ31" s="673" t="s">
        <v>1883</v>
      </c>
      <c r="AR31" s="415" t="s">
        <v>2381</v>
      </c>
      <c r="AS31" s="43">
        <v>11.59</v>
      </c>
      <c r="AT31" s="415" t="s">
        <v>2382</v>
      </c>
      <c r="AU31" s="509" t="s">
        <v>840</v>
      </c>
      <c r="AV31" s="509" t="s">
        <v>841</v>
      </c>
      <c r="AW31" s="480"/>
      <c r="AX31" s="481" t="s">
        <v>1529</v>
      </c>
      <c r="AY31" s="674" t="s">
        <v>1755</v>
      </c>
      <c r="AZ31" s="409" t="s">
        <v>1462</v>
      </c>
      <c r="BA31" s="409">
        <v>9.1999999999999993</v>
      </c>
      <c r="BB31" s="409" t="s">
        <v>1463</v>
      </c>
      <c r="BC31" s="671" t="s">
        <v>840</v>
      </c>
      <c r="BD31" s="509" t="s">
        <v>841</v>
      </c>
      <c r="BE31" s="315"/>
      <c r="BF31" s="481" t="s">
        <v>1656</v>
      </c>
      <c r="BG31" s="674" t="s">
        <v>1884</v>
      </c>
      <c r="BH31" s="416" t="s">
        <v>2381</v>
      </c>
      <c r="BI31" s="43">
        <v>11.89</v>
      </c>
      <c r="BJ31" s="416" t="s">
        <v>2384</v>
      </c>
      <c r="BK31" s="509" t="s">
        <v>840</v>
      </c>
      <c r="BL31" s="509" t="s">
        <v>841</v>
      </c>
    </row>
    <row r="32" spans="1:64" s="448" customFormat="1" ht="11.25" customHeight="1">
      <c r="A32" s="581"/>
      <c r="B32" s="1302" t="s">
        <v>1507</v>
      </c>
      <c r="C32" s="1314" t="s">
        <v>1752</v>
      </c>
      <c r="D32" s="1305" t="s">
        <v>2043</v>
      </c>
      <c r="E32" s="531">
        <v>11.55</v>
      </c>
      <c r="F32" s="1305" t="s">
        <v>1091</v>
      </c>
      <c r="G32" s="1304" t="s">
        <v>840</v>
      </c>
      <c r="H32" s="1304" t="s">
        <v>841</v>
      </c>
      <c r="I32" s="1319"/>
      <c r="J32" s="1631" t="s">
        <v>1558</v>
      </c>
      <c r="K32" s="1330" t="s">
        <v>1767</v>
      </c>
      <c r="L32" s="1331">
        <v>40903</v>
      </c>
      <c r="M32" s="531">
        <v>7</v>
      </c>
      <c r="N32" s="1331" t="s">
        <v>2887</v>
      </c>
      <c r="O32" s="1304" t="s">
        <v>840</v>
      </c>
      <c r="P32" s="1304" t="s">
        <v>841</v>
      </c>
      <c r="Q32" s="543"/>
      <c r="R32" s="1302" t="s">
        <v>1538</v>
      </c>
      <c r="S32" s="1309" t="s">
        <v>1753</v>
      </c>
      <c r="T32" s="576" t="s">
        <v>1423</v>
      </c>
      <c r="U32" s="580">
        <v>8.82</v>
      </c>
      <c r="V32" s="576" t="s">
        <v>1424</v>
      </c>
      <c r="W32" s="1311" t="s">
        <v>840</v>
      </c>
      <c r="X32" s="1304" t="s">
        <v>841</v>
      </c>
      <c r="Y32" s="543"/>
      <c r="Z32" s="1318" t="s">
        <v>1922</v>
      </c>
      <c r="AA32" s="1309" t="s">
        <v>1753</v>
      </c>
      <c r="AB32" s="1305" t="s">
        <v>2030</v>
      </c>
      <c r="AC32" s="579">
        <v>7.05</v>
      </c>
      <c r="AD32" s="1305" t="s">
        <v>2798</v>
      </c>
      <c r="AE32" s="1304" t="s">
        <v>840</v>
      </c>
      <c r="AF32" s="1304" t="s">
        <v>841</v>
      </c>
      <c r="AG32" s="605"/>
      <c r="AH32" s="1312" t="s">
        <v>1528</v>
      </c>
      <c r="AI32" s="1313" t="s">
        <v>1754</v>
      </c>
      <c r="AJ32" s="530" t="s">
        <v>943</v>
      </c>
      <c r="AK32" s="531">
        <v>8.75</v>
      </c>
      <c r="AL32" s="530" t="s">
        <v>944</v>
      </c>
      <c r="AM32" s="1304" t="s">
        <v>840</v>
      </c>
      <c r="AN32" s="1304" t="s">
        <v>841</v>
      </c>
      <c r="AO32" s="605"/>
      <c r="AP32" s="1312" t="s">
        <v>1573</v>
      </c>
      <c r="AQ32" s="1313" t="s">
        <v>1883</v>
      </c>
      <c r="AR32" s="1323" t="s">
        <v>2388</v>
      </c>
      <c r="AS32" s="537">
        <v>11.5</v>
      </c>
      <c r="AT32" s="1323" t="s">
        <v>2389</v>
      </c>
      <c r="AU32" s="1311" t="s">
        <v>840</v>
      </c>
      <c r="AV32" s="1311" t="s">
        <v>841</v>
      </c>
      <c r="AW32" s="605"/>
      <c r="AX32" s="1312" t="s">
        <v>1530</v>
      </c>
      <c r="AY32" s="1314" t="s">
        <v>1755</v>
      </c>
      <c r="AZ32" s="1496" t="s">
        <v>1464</v>
      </c>
      <c r="BA32" s="579">
        <v>9.15</v>
      </c>
      <c r="BB32" s="1496" t="s">
        <v>1465</v>
      </c>
      <c r="BC32" s="1304" t="s">
        <v>840</v>
      </c>
      <c r="BD32" s="1311" t="s">
        <v>841</v>
      </c>
      <c r="BE32" s="543"/>
      <c r="BF32" s="1312" t="s">
        <v>2348</v>
      </c>
      <c r="BG32" s="1314" t="s">
        <v>1884</v>
      </c>
      <c r="BH32" s="1315" t="s">
        <v>2388</v>
      </c>
      <c r="BI32" s="537">
        <v>11.98</v>
      </c>
      <c r="BJ32" s="1315" t="s">
        <v>2390</v>
      </c>
      <c r="BK32" s="1311" t="s">
        <v>840</v>
      </c>
      <c r="BL32" s="1311" t="s">
        <v>841</v>
      </c>
    </row>
    <row r="33" spans="1:64" s="315" customFormat="1" ht="11.25" customHeight="1">
      <c r="A33" s="470"/>
      <c r="B33" s="471" t="s">
        <v>1508</v>
      </c>
      <c r="C33" s="674" t="s">
        <v>1752</v>
      </c>
      <c r="D33" s="677" t="s">
        <v>2044</v>
      </c>
      <c r="E33" s="483">
        <v>11.5</v>
      </c>
      <c r="F33" s="677" t="s">
        <v>2045</v>
      </c>
      <c r="G33" s="671" t="s">
        <v>840</v>
      </c>
      <c r="H33" s="671" t="s">
        <v>841</v>
      </c>
      <c r="I33" s="488"/>
      <c r="J33" s="498" t="s">
        <v>1559</v>
      </c>
      <c r="K33" s="505" t="s">
        <v>1768</v>
      </c>
      <c r="L33" s="870">
        <v>40903</v>
      </c>
      <c r="M33" s="483">
        <v>7</v>
      </c>
      <c r="N33" s="870">
        <v>43095</v>
      </c>
      <c r="O33" s="671" t="s">
        <v>840</v>
      </c>
      <c r="P33" s="671" t="s">
        <v>841</v>
      </c>
      <c r="R33" s="471" t="s">
        <v>1539</v>
      </c>
      <c r="S33" s="672" t="s">
        <v>1753</v>
      </c>
      <c r="T33" s="450" t="s">
        <v>2549</v>
      </c>
      <c r="U33" s="20">
        <v>8.85</v>
      </c>
      <c r="V33" s="450" t="s">
        <v>1425</v>
      </c>
      <c r="W33" s="509" t="s">
        <v>840</v>
      </c>
      <c r="X33" s="671" t="s">
        <v>841</v>
      </c>
      <c r="Z33" s="486" t="s">
        <v>1923</v>
      </c>
      <c r="AA33" s="672" t="s">
        <v>1753</v>
      </c>
      <c r="AB33" s="415" t="s">
        <v>2031</v>
      </c>
      <c r="AC33" s="477">
        <v>7.29</v>
      </c>
      <c r="AD33" s="415" t="s">
        <v>2826</v>
      </c>
      <c r="AE33" s="671" t="s">
        <v>840</v>
      </c>
      <c r="AF33" s="671" t="s">
        <v>841</v>
      </c>
      <c r="AG33" s="480"/>
      <c r="AH33" s="481" t="s">
        <v>1529</v>
      </c>
      <c r="AI33" s="673" t="s">
        <v>1754</v>
      </c>
      <c r="AJ33" s="482" t="s">
        <v>1438</v>
      </c>
      <c r="AK33" s="483">
        <v>8.77</v>
      </c>
      <c r="AL33" s="482" t="s">
        <v>1439</v>
      </c>
      <c r="AM33" s="671" t="s">
        <v>840</v>
      </c>
      <c r="AN33" s="671" t="s">
        <v>841</v>
      </c>
      <c r="AO33" s="480"/>
      <c r="AP33" s="481" t="s">
        <v>1651</v>
      </c>
      <c r="AQ33" s="673" t="s">
        <v>1883</v>
      </c>
      <c r="AR33" s="415" t="s">
        <v>2423</v>
      </c>
      <c r="AS33" s="43">
        <v>11.42</v>
      </c>
      <c r="AT33" s="415" t="s">
        <v>2424</v>
      </c>
      <c r="AU33" s="509" t="s">
        <v>840</v>
      </c>
      <c r="AV33" s="509" t="s">
        <v>841</v>
      </c>
      <c r="AW33" s="480"/>
      <c r="AX33" s="481" t="s">
        <v>1531</v>
      </c>
      <c r="AY33" s="674" t="s">
        <v>1755</v>
      </c>
      <c r="AZ33" s="409" t="s">
        <v>1466</v>
      </c>
      <c r="BA33" s="409">
        <v>9.1999999999999993</v>
      </c>
      <c r="BB33" s="409" t="s">
        <v>1467</v>
      </c>
      <c r="BC33" s="671" t="s">
        <v>840</v>
      </c>
      <c r="BD33" s="509" t="s">
        <v>841</v>
      </c>
      <c r="BF33" s="481" t="s">
        <v>1714</v>
      </c>
      <c r="BG33" s="674" t="s">
        <v>1884</v>
      </c>
      <c r="BH33" s="416" t="s">
        <v>2423</v>
      </c>
      <c r="BI33" s="43">
        <v>11.98</v>
      </c>
      <c r="BJ33" s="416" t="s">
        <v>2428</v>
      </c>
      <c r="BK33" s="509" t="s">
        <v>840</v>
      </c>
      <c r="BL33" s="509" t="s">
        <v>841</v>
      </c>
    </row>
    <row r="34" spans="1:64" s="315" customFormat="1" ht="11.25" customHeight="1">
      <c r="A34" s="581"/>
      <c r="B34" s="1302" t="s">
        <v>1509</v>
      </c>
      <c r="C34" s="1314" t="s">
        <v>1752</v>
      </c>
      <c r="D34" s="1305" t="s">
        <v>2046</v>
      </c>
      <c r="E34" s="531">
        <v>11.52</v>
      </c>
      <c r="F34" s="1305" t="s">
        <v>1093</v>
      </c>
      <c r="G34" s="1304" t="s">
        <v>840</v>
      </c>
      <c r="H34" s="1304" t="s">
        <v>841</v>
      </c>
      <c r="I34" s="1329"/>
      <c r="J34" s="1631" t="s">
        <v>1560</v>
      </c>
      <c r="K34" s="1365" t="s">
        <v>1769</v>
      </c>
      <c r="L34" s="1323" t="s">
        <v>2886</v>
      </c>
      <c r="M34" s="531">
        <v>7</v>
      </c>
      <c r="N34" s="1323" t="s">
        <v>2887</v>
      </c>
      <c r="O34" s="1304" t="s">
        <v>840</v>
      </c>
      <c r="P34" s="1304" t="s">
        <v>841</v>
      </c>
      <c r="Q34" s="553"/>
      <c r="R34" s="1302" t="s">
        <v>1540</v>
      </c>
      <c r="S34" s="1309" t="s">
        <v>1753</v>
      </c>
      <c r="T34" s="1625" t="s">
        <v>1426</v>
      </c>
      <c r="U34" s="579">
        <v>8.85</v>
      </c>
      <c r="V34" s="1625" t="s">
        <v>2347</v>
      </c>
      <c r="W34" s="1304" t="s">
        <v>840</v>
      </c>
      <c r="X34" s="1304" t="s">
        <v>841</v>
      </c>
      <c r="Y34" s="543"/>
      <c r="Z34" s="1318" t="s">
        <v>1924</v>
      </c>
      <c r="AA34" s="1309" t="s">
        <v>1753</v>
      </c>
      <c r="AB34" s="1323" t="s">
        <v>2824</v>
      </c>
      <c r="AC34" s="579">
        <v>7.59</v>
      </c>
      <c r="AD34" s="1323" t="s">
        <v>2825</v>
      </c>
      <c r="AE34" s="1304" t="s">
        <v>840</v>
      </c>
      <c r="AF34" s="1304" t="s">
        <v>841</v>
      </c>
      <c r="AG34" s="605"/>
      <c r="AH34" s="1312" t="s">
        <v>1530</v>
      </c>
      <c r="AI34" s="1313" t="s">
        <v>1754</v>
      </c>
      <c r="AJ34" s="530" t="s">
        <v>1440</v>
      </c>
      <c r="AK34" s="531">
        <v>8.8000000000000007</v>
      </c>
      <c r="AL34" s="530" t="s">
        <v>1441</v>
      </c>
      <c r="AM34" s="1304" t="s">
        <v>840</v>
      </c>
      <c r="AN34" s="1304" t="s">
        <v>841</v>
      </c>
      <c r="AO34" s="605"/>
      <c r="AP34" s="1312" t="s">
        <v>1652</v>
      </c>
      <c r="AQ34" s="1313" t="s">
        <v>1883</v>
      </c>
      <c r="AR34" s="1323" t="s">
        <v>2425</v>
      </c>
      <c r="AS34" s="537">
        <v>11.47</v>
      </c>
      <c r="AT34" s="1323" t="s">
        <v>2426</v>
      </c>
      <c r="AU34" s="1311" t="s">
        <v>840</v>
      </c>
      <c r="AV34" s="1311" t="s">
        <v>841</v>
      </c>
      <c r="AW34" s="1319"/>
      <c r="AX34" s="1312" t="s">
        <v>1532</v>
      </c>
      <c r="AY34" s="1314" t="s">
        <v>1755</v>
      </c>
      <c r="AZ34" s="1496" t="s">
        <v>1468</v>
      </c>
      <c r="BA34" s="579">
        <v>9.23</v>
      </c>
      <c r="BB34" s="1496" t="s">
        <v>1469</v>
      </c>
      <c r="BC34" s="1304" t="s">
        <v>840</v>
      </c>
      <c r="BD34" s="1311" t="s">
        <v>841</v>
      </c>
      <c r="BE34" s="543"/>
      <c r="BF34" s="1312" t="s">
        <v>1715</v>
      </c>
      <c r="BG34" s="1314" t="s">
        <v>1884</v>
      </c>
      <c r="BH34" s="1315" t="s">
        <v>2425</v>
      </c>
      <c r="BI34" s="537">
        <v>11.98</v>
      </c>
      <c r="BJ34" s="1315" t="s">
        <v>2427</v>
      </c>
      <c r="BK34" s="1311" t="s">
        <v>840</v>
      </c>
      <c r="BL34" s="1311" t="s">
        <v>841</v>
      </c>
    </row>
    <row r="35" spans="1:64" s="315" customFormat="1" ht="11.25" customHeight="1">
      <c r="A35" s="470"/>
      <c r="B35" s="471" t="s">
        <v>1510</v>
      </c>
      <c r="C35" s="674" t="s">
        <v>1752</v>
      </c>
      <c r="D35" s="677" t="s">
        <v>2047</v>
      </c>
      <c r="E35" s="483">
        <v>11.62</v>
      </c>
      <c r="F35" s="677" t="s">
        <v>65</v>
      </c>
      <c r="G35" s="671" t="s">
        <v>840</v>
      </c>
      <c r="H35" s="671" t="s">
        <v>841</v>
      </c>
      <c r="J35" s="498" t="s">
        <v>1561</v>
      </c>
      <c r="K35" s="873" t="s">
        <v>1760</v>
      </c>
      <c r="L35" s="409" t="s">
        <v>1437</v>
      </c>
      <c r="M35" s="874" t="s">
        <v>1574</v>
      </c>
      <c r="N35" s="437" t="s">
        <v>1486</v>
      </c>
      <c r="O35" s="671" t="s">
        <v>840</v>
      </c>
      <c r="P35" s="671" t="s">
        <v>104</v>
      </c>
      <c r="Q35" s="485"/>
      <c r="R35" s="471" t="s">
        <v>1541</v>
      </c>
      <c r="S35" s="672" t="s">
        <v>1753</v>
      </c>
      <c r="T35" s="450" t="s">
        <v>1427</v>
      </c>
      <c r="U35" s="20">
        <v>8.9</v>
      </c>
      <c r="V35" s="450" t="s">
        <v>1428</v>
      </c>
      <c r="W35" s="509" t="s">
        <v>840</v>
      </c>
      <c r="X35" s="671" t="s">
        <v>841</v>
      </c>
      <c r="Z35" s="486" t="s">
        <v>1925</v>
      </c>
      <c r="AA35" s="672" t="s">
        <v>1753</v>
      </c>
      <c r="AB35" s="415" t="s">
        <v>2846</v>
      </c>
      <c r="AC35" s="477">
        <v>7.36</v>
      </c>
      <c r="AD35" s="415" t="s">
        <v>2139</v>
      </c>
      <c r="AE35" s="671" t="s">
        <v>840</v>
      </c>
      <c r="AF35" s="671" t="s">
        <v>841</v>
      </c>
      <c r="AG35" s="480"/>
      <c r="AH35" s="481" t="s">
        <v>1531</v>
      </c>
      <c r="AI35" s="673" t="s">
        <v>1754</v>
      </c>
      <c r="AJ35" s="482" t="s">
        <v>1442</v>
      </c>
      <c r="AK35" s="483">
        <v>8.8000000000000007</v>
      </c>
      <c r="AL35" s="482" t="s">
        <v>1443</v>
      </c>
      <c r="AM35" s="671" t="s">
        <v>840</v>
      </c>
      <c r="AN35" s="671" t="s">
        <v>841</v>
      </c>
      <c r="AO35" s="480"/>
      <c r="AP35" s="481" t="s">
        <v>1653</v>
      </c>
      <c r="AQ35" s="673" t="s">
        <v>1883</v>
      </c>
      <c r="AR35" s="415" t="s">
        <v>2614</v>
      </c>
      <c r="AS35" s="43">
        <v>10.06</v>
      </c>
      <c r="AT35" s="415" t="s">
        <v>1467</v>
      </c>
      <c r="AU35" s="509" t="s">
        <v>840</v>
      </c>
      <c r="AV35" s="509" t="s">
        <v>841</v>
      </c>
      <c r="AW35" s="484"/>
      <c r="AX35" s="481" t="s">
        <v>1533</v>
      </c>
      <c r="AY35" s="674" t="s">
        <v>1755</v>
      </c>
      <c r="AZ35" s="409" t="s">
        <v>1470</v>
      </c>
      <c r="BA35" s="409">
        <v>9.25</v>
      </c>
      <c r="BB35" s="409" t="s">
        <v>1471</v>
      </c>
      <c r="BC35" s="671" t="s">
        <v>840</v>
      </c>
      <c r="BD35" s="509" t="s">
        <v>841</v>
      </c>
      <c r="BF35" s="481" t="s">
        <v>1716</v>
      </c>
      <c r="BG35" s="674" t="s">
        <v>1884</v>
      </c>
      <c r="BH35" s="416" t="s">
        <v>2614</v>
      </c>
      <c r="BI35" s="43">
        <v>10.36</v>
      </c>
      <c r="BJ35" s="416" t="s">
        <v>2615</v>
      </c>
      <c r="BK35" s="509" t="s">
        <v>840</v>
      </c>
      <c r="BL35" s="509" t="s">
        <v>841</v>
      </c>
    </row>
    <row r="36" spans="1:64" s="315" customFormat="1" ht="11.25" customHeight="1">
      <c r="A36" s="581"/>
      <c r="B36" s="1302" t="s">
        <v>1511</v>
      </c>
      <c r="C36" s="1314" t="s">
        <v>1752</v>
      </c>
      <c r="D36" s="1305" t="s">
        <v>2048</v>
      </c>
      <c r="E36" s="531">
        <v>11.72</v>
      </c>
      <c r="F36" s="1305" t="s">
        <v>66</v>
      </c>
      <c r="G36" s="1304" t="s">
        <v>840</v>
      </c>
      <c r="H36" s="1304" t="s">
        <v>841</v>
      </c>
      <c r="I36" s="1174"/>
      <c r="J36" s="1631" t="s">
        <v>1562</v>
      </c>
      <c r="K36" s="1330" t="s">
        <v>2210</v>
      </c>
      <c r="L36" s="1331" t="s">
        <v>2206</v>
      </c>
      <c r="M36" s="531">
        <v>7</v>
      </c>
      <c r="N36" s="1331" t="s">
        <v>2211</v>
      </c>
      <c r="O36" s="1304" t="s">
        <v>840</v>
      </c>
      <c r="P36" s="1304" t="s">
        <v>841</v>
      </c>
      <c r="Q36" s="604"/>
      <c r="R36" s="1302" t="s">
        <v>1542</v>
      </c>
      <c r="S36" s="1309" t="s">
        <v>1753</v>
      </c>
      <c r="T36" s="576" t="s">
        <v>1429</v>
      </c>
      <c r="U36" s="580">
        <v>9.5</v>
      </c>
      <c r="V36" s="539" t="s">
        <v>1430</v>
      </c>
      <c r="W36" s="1311" t="s">
        <v>840</v>
      </c>
      <c r="X36" s="1304" t="s">
        <v>841</v>
      </c>
      <c r="Y36" s="543"/>
      <c r="Z36" s="1318" t="s">
        <v>1926</v>
      </c>
      <c r="AA36" s="1309" t="s">
        <v>1753</v>
      </c>
      <c r="AB36" s="1323" t="s">
        <v>2889</v>
      </c>
      <c r="AC36" s="579">
        <v>7.25</v>
      </c>
      <c r="AD36" s="1323" t="s">
        <v>2141</v>
      </c>
      <c r="AE36" s="1304" t="s">
        <v>840</v>
      </c>
      <c r="AF36" s="1304" t="s">
        <v>841</v>
      </c>
      <c r="AG36" s="605"/>
      <c r="AH36" s="1312" t="s">
        <v>1532</v>
      </c>
      <c r="AI36" s="1313" t="s">
        <v>1754</v>
      </c>
      <c r="AJ36" s="530" t="s">
        <v>1444</v>
      </c>
      <c r="AK36" s="531">
        <v>8.85</v>
      </c>
      <c r="AL36" s="530" t="s">
        <v>1445</v>
      </c>
      <c r="AM36" s="1304" t="s">
        <v>840</v>
      </c>
      <c r="AN36" s="1304" t="s">
        <v>841</v>
      </c>
      <c r="AO36" s="605"/>
      <c r="AP36" s="1312" t="s">
        <v>1654</v>
      </c>
      <c r="AQ36" s="1313" t="s">
        <v>1883</v>
      </c>
      <c r="AR36" s="1323" t="s">
        <v>2625</v>
      </c>
      <c r="AS36" s="537">
        <v>8.57</v>
      </c>
      <c r="AT36" s="1323" t="s">
        <v>2626</v>
      </c>
      <c r="AU36" s="1311" t="s">
        <v>840</v>
      </c>
      <c r="AV36" s="1311" t="s">
        <v>841</v>
      </c>
      <c r="AW36" s="1319"/>
      <c r="AX36" s="1312" t="s">
        <v>1534</v>
      </c>
      <c r="AY36" s="1314" t="s">
        <v>1755</v>
      </c>
      <c r="AZ36" s="1496" t="s">
        <v>1472</v>
      </c>
      <c r="BA36" s="579">
        <v>9.25</v>
      </c>
      <c r="BB36" s="1496" t="s">
        <v>1473</v>
      </c>
      <c r="BC36" s="1304" t="s">
        <v>840</v>
      </c>
      <c r="BD36" s="1311" t="s">
        <v>841</v>
      </c>
      <c r="BE36" s="543"/>
      <c r="BF36" s="1312" t="s">
        <v>1717</v>
      </c>
      <c r="BG36" s="1314" t="s">
        <v>1884</v>
      </c>
      <c r="BH36" s="1315" t="s">
        <v>2625</v>
      </c>
      <c r="BI36" s="537">
        <v>8.93</v>
      </c>
      <c r="BJ36" s="1315" t="s">
        <v>2629</v>
      </c>
      <c r="BK36" s="1311" t="s">
        <v>840</v>
      </c>
      <c r="BL36" s="1311" t="s">
        <v>841</v>
      </c>
    </row>
    <row r="37" spans="1:64" s="315" customFormat="1" ht="11.25" customHeight="1">
      <c r="A37" s="470"/>
      <c r="B37" s="471" t="s">
        <v>1512</v>
      </c>
      <c r="C37" s="674" t="s">
        <v>1752</v>
      </c>
      <c r="D37" s="677" t="s">
        <v>2049</v>
      </c>
      <c r="E37" s="483">
        <v>11.82</v>
      </c>
      <c r="F37" s="677" t="s">
        <v>2050</v>
      </c>
      <c r="G37" s="671" t="s">
        <v>840</v>
      </c>
      <c r="H37" s="671" t="s">
        <v>841</v>
      </c>
      <c r="J37" s="498" t="s">
        <v>1563</v>
      </c>
      <c r="K37" s="505" t="s">
        <v>2216</v>
      </c>
      <c r="L37" s="870" t="s">
        <v>2206</v>
      </c>
      <c r="M37" s="483">
        <v>7</v>
      </c>
      <c r="N37" s="870" t="s">
        <v>2211</v>
      </c>
      <c r="O37" s="671" t="s">
        <v>840</v>
      </c>
      <c r="P37" s="671" t="s">
        <v>841</v>
      </c>
      <c r="Q37" s="485"/>
      <c r="R37" s="471" t="s">
        <v>1543</v>
      </c>
      <c r="S37" s="672" t="s">
        <v>1753</v>
      </c>
      <c r="T37" s="409" t="s">
        <v>1431</v>
      </c>
      <c r="U37" s="477">
        <v>9.5299999999999994</v>
      </c>
      <c r="V37" s="437" t="s">
        <v>1432</v>
      </c>
      <c r="W37" s="671" t="s">
        <v>840</v>
      </c>
      <c r="X37" s="671" t="s">
        <v>841</v>
      </c>
      <c r="Z37" s="486" t="s">
        <v>1927</v>
      </c>
      <c r="AA37" s="672" t="s">
        <v>1753</v>
      </c>
      <c r="AB37" s="42" t="s">
        <v>2890</v>
      </c>
      <c r="AC37" s="42">
        <v>6.98</v>
      </c>
      <c r="AD37" s="42" t="s">
        <v>2143</v>
      </c>
      <c r="AE37" s="671" t="s">
        <v>840</v>
      </c>
      <c r="AF37" s="671" t="s">
        <v>841</v>
      </c>
      <c r="AG37" s="480"/>
      <c r="AH37" s="481" t="s">
        <v>1533</v>
      </c>
      <c r="AI37" s="673" t="s">
        <v>1754</v>
      </c>
      <c r="AJ37" s="482" t="s">
        <v>1446</v>
      </c>
      <c r="AK37" s="483">
        <v>8.86</v>
      </c>
      <c r="AL37" s="482" t="s">
        <v>1447</v>
      </c>
      <c r="AM37" s="671" t="s">
        <v>840</v>
      </c>
      <c r="AN37" s="671" t="s">
        <v>841</v>
      </c>
      <c r="AO37" s="480"/>
      <c r="AP37" s="481" t="s">
        <v>1655</v>
      </c>
      <c r="AQ37" s="673" t="s">
        <v>1883</v>
      </c>
      <c r="AR37" s="415" t="s">
        <v>2634</v>
      </c>
      <c r="AS37" s="43">
        <v>8.44</v>
      </c>
      <c r="AT37" s="415" t="s">
        <v>2636</v>
      </c>
      <c r="AU37" s="509" t="s">
        <v>840</v>
      </c>
      <c r="AV37" s="509" t="s">
        <v>841</v>
      </c>
      <c r="AW37" s="484"/>
      <c r="AX37" s="481" t="s">
        <v>1535</v>
      </c>
      <c r="AY37" s="674" t="s">
        <v>1755</v>
      </c>
      <c r="AZ37" s="409" t="s">
        <v>1474</v>
      </c>
      <c r="BA37" s="409">
        <v>9.4499999999999993</v>
      </c>
      <c r="BB37" s="409" t="s">
        <v>1475</v>
      </c>
      <c r="BC37" s="671" t="s">
        <v>840</v>
      </c>
      <c r="BD37" s="509" t="s">
        <v>841</v>
      </c>
      <c r="BF37" s="481" t="s">
        <v>1718</v>
      </c>
      <c r="BG37" s="674" t="s">
        <v>1884</v>
      </c>
      <c r="BH37" s="416" t="s">
        <v>2634</v>
      </c>
      <c r="BI37" s="43">
        <v>8.99</v>
      </c>
      <c r="BJ37" s="416" t="s">
        <v>2635</v>
      </c>
      <c r="BK37" s="509" t="s">
        <v>840</v>
      </c>
      <c r="BL37" s="509" t="s">
        <v>841</v>
      </c>
    </row>
    <row r="38" spans="1:64" s="315" customFormat="1" ht="11.25" customHeight="1">
      <c r="A38" s="581"/>
      <c r="B38" s="1302" t="s">
        <v>1513</v>
      </c>
      <c r="C38" s="1314" t="s">
        <v>1752</v>
      </c>
      <c r="D38" s="1305" t="s">
        <v>2158</v>
      </c>
      <c r="E38" s="531">
        <v>11.7</v>
      </c>
      <c r="F38" s="1305" t="s">
        <v>2159</v>
      </c>
      <c r="G38" s="1304" t="s">
        <v>840</v>
      </c>
      <c r="H38" s="1304" t="s">
        <v>841</v>
      </c>
      <c r="I38" s="543"/>
      <c r="J38" s="1631" t="s">
        <v>1564</v>
      </c>
      <c r="K38" s="1330" t="s">
        <v>2217</v>
      </c>
      <c r="L38" s="1331" t="s">
        <v>2206</v>
      </c>
      <c r="M38" s="531">
        <v>7</v>
      </c>
      <c r="N38" s="1331" t="s">
        <v>2211</v>
      </c>
      <c r="O38" s="1304" t="s">
        <v>840</v>
      </c>
      <c r="P38" s="1304" t="s">
        <v>841</v>
      </c>
      <c r="Q38" s="604"/>
      <c r="R38" s="1302" t="s">
        <v>1544</v>
      </c>
      <c r="S38" s="1309" t="s">
        <v>1753</v>
      </c>
      <c r="T38" s="1625" t="s">
        <v>1437</v>
      </c>
      <c r="U38" s="579" t="s">
        <v>1574</v>
      </c>
      <c r="V38" s="525" t="s">
        <v>1487</v>
      </c>
      <c r="W38" s="1304" t="s">
        <v>840</v>
      </c>
      <c r="X38" s="1304" t="s">
        <v>104</v>
      </c>
      <c r="Y38" s="543"/>
      <c r="Z38" s="1318" t="s">
        <v>1928</v>
      </c>
      <c r="AA38" s="1309" t="s">
        <v>1753</v>
      </c>
      <c r="AB38" s="534" t="s">
        <v>2933</v>
      </c>
      <c r="AC38" s="534">
        <v>6.89</v>
      </c>
      <c r="AD38" s="534" t="s">
        <v>2145</v>
      </c>
      <c r="AE38" s="1304" t="s">
        <v>840</v>
      </c>
      <c r="AF38" s="1304" t="s">
        <v>841</v>
      </c>
      <c r="AG38" s="605"/>
      <c r="AH38" s="1312" t="s">
        <v>1534</v>
      </c>
      <c r="AI38" s="1313" t="s">
        <v>1754</v>
      </c>
      <c r="AJ38" s="530" t="s">
        <v>1448</v>
      </c>
      <c r="AK38" s="531">
        <v>8.92</v>
      </c>
      <c r="AL38" s="530" t="s">
        <v>1449</v>
      </c>
      <c r="AM38" s="1304" t="s">
        <v>840</v>
      </c>
      <c r="AN38" s="1304" t="s">
        <v>841</v>
      </c>
      <c r="AO38" s="605"/>
      <c r="AP38" s="1308" t="s">
        <v>1656</v>
      </c>
      <c r="AQ38" s="1313" t="s">
        <v>1883</v>
      </c>
      <c r="AR38" s="1305" t="s">
        <v>2655</v>
      </c>
      <c r="AS38" s="531">
        <v>7.8</v>
      </c>
      <c r="AT38" s="1305" t="s">
        <v>2657</v>
      </c>
      <c r="AU38" s="1304" t="s">
        <v>840</v>
      </c>
      <c r="AV38" s="1304" t="s">
        <v>841</v>
      </c>
      <c r="AW38" s="1319"/>
      <c r="AX38" s="1312" t="s">
        <v>1536</v>
      </c>
      <c r="AY38" s="1314" t="s">
        <v>1755</v>
      </c>
      <c r="AZ38" s="1496" t="s">
        <v>1476</v>
      </c>
      <c r="BA38" s="579">
        <v>9.57</v>
      </c>
      <c r="BB38" s="1496" t="s">
        <v>2429</v>
      </c>
      <c r="BC38" s="1304" t="s">
        <v>840</v>
      </c>
      <c r="BD38" s="1311" t="s">
        <v>841</v>
      </c>
      <c r="BE38" s="543"/>
      <c r="BF38" s="1312" t="s">
        <v>1719</v>
      </c>
      <c r="BG38" s="1314" t="s">
        <v>1884</v>
      </c>
      <c r="BH38" s="1315" t="s">
        <v>2655</v>
      </c>
      <c r="BI38" s="537">
        <v>8.1999999999999993</v>
      </c>
      <c r="BJ38" s="1315" t="s">
        <v>2656</v>
      </c>
      <c r="BK38" s="1311" t="s">
        <v>840</v>
      </c>
      <c r="BL38" s="1311" t="s">
        <v>841</v>
      </c>
    </row>
    <row r="39" spans="1:64" s="315" customFormat="1" ht="11.25" customHeight="1">
      <c r="A39" s="470"/>
      <c r="B39" s="471" t="s">
        <v>1514</v>
      </c>
      <c r="C39" s="674" t="s">
        <v>1752</v>
      </c>
      <c r="D39" s="870" t="s">
        <v>2167</v>
      </c>
      <c r="E39" s="43">
        <v>11.7</v>
      </c>
      <c r="F39" s="870" t="s">
        <v>2168</v>
      </c>
      <c r="G39" s="671" t="s">
        <v>840</v>
      </c>
      <c r="H39" s="671" t="s">
        <v>841</v>
      </c>
      <c r="J39" s="498" t="s">
        <v>1565</v>
      </c>
      <c r="K39" s="505" t="s">
        <v>2213</v>
      </c>
      <c r="L39" s="870" t="s">
        <v>2206</v>
      </c>
      <c r="M39" s="483">
        <v>7</v>
      </c>
      <c r="N39" s="870" t="s">
        <v>2212</v>
      </c>
      <c r="O39" s="671" t="s">
        <v>840</v>
      </c>
      <c r="P39" s="671" t="s">
        <v>841</v>
      </c>
      <c r="R39" s="471" t="s">
        <v>1544</v>
      </c>
      <c r="S39" s="672" t="s">
        <v>1753</v>
      </c>
      <c r="T39" s="450" t="s">
        <v>1435</v>
      </c>
      <c r="U39" s="20">
        <v>9.4499999999999993</v>
      </c>
      <c r="V39" s="418" t="s">
        <v>1436</v>
      </c>
      <c r="W39" s="509" t="s">
        <v>840</v>
      </c>
      <c r="X39" s="671" t="s">
        <v>841</v>
      </c>
      <c r="Y39" s="480"/>
      <c r="Z39" s="486" t="s">
        <v>1929</v>
      </c>
      <c r="AA39" s="672" t="s">
        <v>1753</v>
      </c>
      <c r="AB39" s="482" t="s">
        <v>2958</v>
      </c>
      <c r="AC39" s="482">
        <v>6.89</v>
      </c>
      <c r="AD39" s="482" t="s">
        <v>2147</v>
      </c>
      <c r="AE39" s="671" t="s">
        <v>840</v>
      </c>
      <c r="AF39" s="671" t="s">
        <v>841</v>
      </c>
      <c r="AG39" s="480"/>
      <c r="AH39" s="963" t="s">
        <v>1535</v>
      </c>
      <c r="AI39" s="673" t="s">
        <v>1754</v>
      </c>
      <c r="AJ39" s="482" t="s">
        <v>1450</v>
      </c>
      <c r="AK39" s="483">
        <v>8.9499999999999993</v>
      </c>
      <c r="AL39" s="482" t="s">
        <v>1451</v>
      </c>
      <c r="AM39" s="671" t="s">
        <v>840</v>
      </c>
      <c r="AN39" s="671" t="s">
        <v>841</v>
      </c>
      <c r="AO39" s="480"/>
      <c r="AP39" s="481" t="s">
        <v>2348</v>
      </c>
      <c r="AQ39" s="673" t="s">
        <v>1883</v>
      </c>
      <c r="AR39" s="415" t="s">
        <v>2669</v>
      </c>
      <c r="AS39" s="43">
        <v>8.3000000000000007</v>
      </c>
      <c r="AT39" s="415" t="s">
        <v>2674</v>
      </c>
      <c r="AU39" s="509" t="s">
        <v>840</v>
      </c>
      <c r="AV39" s="509" t="s">
        <v>841</v>
      </c>
      <c r="AW39" s="484"/>
      <c r="AX39" s="481" t="s">
        <v>1537</v>
      </c>
      <c r="AY39" s="674" t="s">
        <v>1755</v>
      </c>
      <c r="AZ39" s="409" t="s">
        <v>1477</v>
      </c>
      <c r="BA39" s="477">
        <v>9.6</v>
      </c>
      <c r="BB39" s="409" t="s">
        <v>1478</v>
      </c>
      <c r="BC39" s="671" t="s">
        <v>840</v>
      </c>
      <c r="BD39" s="509" t="s">
        <v>841</v>
      </c>
      <c r="BF39" s="481" t="s">
        <v>1720</v>
      </c>
      <c r="BG39" s="674" t="s">
        <v>1884</v>
      </c>
      <c r="BH39" s="416" t="s">
        <v>2669</v>
      </c>
      <c r="BI39" s="43">
        <v>8.6999999999999993</v>
      </c>
      <c r="BJ39" s="416" t="s">
        <v>2673</v>
      </c>
      <c r="BK39" s="509" t="s">
        <v>840</v>
      </c>
      <c r="BL39" s="509" t="s">
        <v>841</v>
      </c>
    </row>
    <row r="40" spans="1:64" s="315" customFormat="1" ht="11.25" customHeight="1">
      <c r="A40" s="581"/>
      <c r="B40" s="1302" t="s">
        <v>1515</v>
      </c>
      <c r="C40" s="1070" t="s">
        <v>1752</v>
      </c>
      <c r="D40" s="1305" t="s">
        <v>2177</v>
      </c>
      <c r="E40" s="531">
        <v>11.7</v>
      </c>
      <c r="F40" s="1305" t="s">
        <v>2178</v>
      </c>
      <c r="G40" s="1304" t="s">
        <v>840</v>
      </c>
      <c r="H40" s="1304" t="s">
        <v>841</v>
      </c>
      <c r="I40" s="1174"/>
      <c r="J40" s="1631" t="s">
        <v>1566</v>
      </c>
      <c r="K40" s="1330" t="s">
        <v>2218</v>
      </c>
      <c r="L40" s="1331" t="s">
        <v>2206</v>
      </c>
      <c r="M40" s="531">
        <v>7</v>
      </c>
      <c r="N40" s="1331" t="s">
        <v>2212</v>
      </c>
      <c r="O40" s="1304" t="s">
        <v>840</v>
      </c>
      <c r="P40" s="1304" t="s">
        <v>841</v>
      </c>
      <c r="Q40" s="604"/>
      <c r="R40" s="1302" t="s">
        <v>1545</v>
      </c>
      <c r="S40" s="1309" t="s">
        <v>1760</v>
      </c>
      <c r="T40" s="576" t="s">
        <v>1433</v>
      </c>
      <c r="U40" s="580">
        <v>9.4499999999999993</v>
      </c>
      <c r="V40" s="539" t="s">
        <v>1434</v>
      </c>
      <c r="W40" s="1311" t="s">
        <v>840</v>
      </c>
      <c r="X40" s="1304" t="s">
        <v>841</v>
      </c>
      <c r="Y40" s="605"/>
      <c r="Z40" s="1318" t="s">
        <v>2888</v>
      </c>
      <c r="AA40" s="1309" t="s">
        <v>1753</v>
      </c>
      <c r="AB40" s="534" t="s">
        <v>2994</v>
      </c>
      <c r="AC40" s="534">
        <v>6.77</v>
      </c>
      <c r="AD40" s="534" t="s">
        <v>2149</v>
      </c>
      <c r="AE40" s="1304" t="s">
        <v>840</v>
      </c>
      <c r="AF40" s="1304" t="s">
        <v>841</v>
      </c>
      <c r="AG40" s="605"/>
      <c r="AH40" s="1312" t="s">
        <v>1536</v>
      </c>
      <c r="AI40" s="1313" t="s">
        <v>1754</v>
      </c>
      <c r="AJ40" s="534" t="s">
        <v>1452</v>
      </c>
      <c r="AK40" s="537">
        <v>9.0500000000000007</v>
      </c>
      <c r="AL40" s="534" t="s">
        <v>1453</v>
      </c>
      <c r="AM40" s="1311" t="s">
        <v>840</v>
      </c>
      <c r="AN40" s="1304" t="s">
        <v>841</v>
      </c>
      <c r="AO40" s="605"/>
      <c r="AP40" s="1312" t="s">
        <v>1714</v>
      </c>
      <c r="AQ40" s="1313" t="s">
        <v>1883</v>
      </c>
      <c r="AR40" s="1323" t="s">
        <v>2704</v>
      </c>
      <c r="AS40" s="537">
        <v>7.44</v>
      </c>
      <c r="AT40" s="1323" t="s">
        <v>2705</v>
      </c>
      <c r="AU40" s="1311" t="s">
        <v>840</v>
      </c>
      <c r="AV40" s="1311" t="s">
        <v>841</v>
      </c>
      <c r="AW40" s="1319"/>
      <c r="AX40" s="1312" t="s">
        <v>1538</v>
      </c>
      <c r="AY40" s="1314" t="s">
        <v>1755</v>
      </c>
      <c r="AZ40" s="1496" t="s">
        <v>1479</v>
      </c>
      <c r="BA40" s="579">
        <v>9.6</v>
      </c>
      <c r="BB40" s="1496" t="s">
        <v>1480</v>
      </c>
      <c r="BC40" s="1304" t="s">
        <v>840</v>
      </c>
      <c r="BD40" s="1311" t="s">
        <v>841</v>
      </c>
      <c r="BE40" s="543"/>
      <c r="BF40" s="1312" t="s">
        <v>1721</v>
      </c>
      <c r="BG40" s="1314" t="s">
        <v>1884</v>
      </c>
      <c r="BH40" s="1315" t="s">
        <v>2704</v>
      </c>
      <c r="BI40" s="537">
        <v>7.64</v>
      </c>
      <c r="BJ40" s="1315" t="s">
        <v>2706</v>
      </c>
      <c r="BK40" s="1311" t="s">
        <v>840</v>
      </c>
      <c r="BL40" s="1311" t="s">
        <v>841</v>
      </c>
    </row>
    <row r="41" spans="1:64" s="315" customFormat="1" ht="11.25" customHeight="1">
      <c r="A41" s="470"/>
      <c r="B41" s="471" t="s">
        <v>1516</v>
      </c>
      <c r="C41" s="675" t="s">
        <v>1752</v>
      </c>
      <c r="D41" s="677" t="s">
        <v>2196</v>
      </c>
      <c r="E41" s="483">
        <v>11.75</v>
      </c>
      <c r="F41" s="677" t="s">
        <v>2197</v>
      </c>
      <c r="G41" s="671" t="s">
        <v>840</v>
      </c>
      <c r="H41" s="671" t="s">
        <v>841</v>
      </c>
      <c r="J41" s="498" t="s">
        <v>1567</v>
      </c>
      <c r="K41" s="505" t="s">
        <v>2219</v>
      </c>
      <c r="L41" s="870" t="s">
        <v>2206</v>
      </c>
      <c r="M41" s="483">
        <v>7</v>
      </c>
      <c r="N41" s="870" t="s">
        <v>2212</v>
      </c>
      <c r="O41" s="671" t="s">
        <v>840</v>
      </c>
      <c r="P41" s="671" t="s">
        <v>841</v>
      </c>
      <c r="Q41" s="485"/>
      <c r="R41" s="471" t="s">
        <v>1546</v>
      </c>
      <c r="S41" s="672" t="s">
        <v>1753</v>
      </c>
      <c r="T41" s="409" t="s">
        <v>1484</v>
      </c>
      <c r="U41" s="477">
        <v>9.4499999999999993</v>
      </c>
      <c r="V41" s="437" t="s">
        <v>1485</v>
      </c>
      <c r="W41" s="509" t="s">
        <v>840</v>
      </c>
      <c r="X41" s="671" t="s">
        <v>841</v>
      </c>
      <c r="Y41" s="480"/>
      <c r="Z41" s="670" t="s">
        <v>1930</v>
      </c>
      <c r="AA41" s="672" t="s">
        <v>1756</v>
      </c>
      <c r="AB41" s="482" t="s">
        <v>1096</v>
      </c>
      <c r="AC41" s="483">
        <v>5</v>
      </c>
      <c r="AD41" s="482" t="s">
        <v>449</v>
      </c>
      <c r="AE41" s="671" t="s">
        <v>840</v>
      </c>
      <c r="AF41" s="671" t="s">
        <v>841</v>
      </c>
      <c r="AG41" s="480"/>
      <c r="AH41" s="481" t="s">
        <v>1537</v>
      </c>
      <c r="AI41" s="673" t="s">
        <v>1754</v>
      </c>
      <c r="AJ41" s="42" t="s">
        <v>1454</v>
      </c>
      <c r="AK41" s="43">
        <v>9.1199999999999992</v>
      </c>
      <c r="AL41" s="42" t="s">
        <v>1455</v>
      </c>
      <c r="AM41" s="509" t="s">
        <v>840</v>
      </c>
      <c r="AN41" s="671" t="s">
        <v>841</v>
      </c>
      <c r="AO41" s="480"/>
      <c r="AP41" s="481" t="s">
        <v>1715</v>
      </c>
      <c r="AQ41" s="673" t="s">
        <v>1883</v>
      </c>
      <c r="AR41" s="415" t="s">
        <v>2712</v>
      </c>
      <c r="AS41" s="43">
        <v>7.4</v>
      </c>
      <c r="AT41" s="415" t="s">
        <v>2713</v>
      </c>
      <c r="AU41" s="509" t="s">
        <v>840</v>
      </c>
      <c r="AV41" s="509" t="s">
        <v>841</v>
      </c>
      <c r="AW41" s="484"/>
      <c r="AX41" s="481" t="s">
        <v>1539</v>
      </c>
      <c r="AY41" s="674" t="s">
        <v>1755</v>
      </c>
      <c r="AZ41" s="409" t="s">
        <v>1481</v>
      </c>
      <c r="BA41" s="477">
        <v>9.6300000000000008</v>
      </c>
      <c r="BB41" s="409" t="s">
        <v>1482</v>
      </c>
      <c r="BC41" s="671" t="s">
        <v>840</v>
      </c>
      <c r="BD41" s="509" t="s">
        <v>841</v>
      </c>
      <c r="BF41" s="481" t="s">
        <v>1922</v>
      </c>
      <c r="BG41" s="674" t="s">
        <v>1884</v>
      </c>
      <c r="BH41" s="416" t="s">
        <v>2712</v>
      </c>
      <c r="BI41" s="43">
        <v>7.75</v>
      </c>
      <c r="BJ41" s="416" t="s">
        <v>2714</v>
      </c>
      <c r="BK41" s="509" t="s">
        <v>840</v>
      </c>
      <c r="BL41" s="509" t="s">
        <v>841</v>
      </c>
    </row>
    <row r="42" spans="1:64" s="315" customFormat="1" ht="11.25" customHeight="1">
      <c r="A42" s="581"/>
      <c r="B42" s="1302" t="s">
        <v>1517</v>
      </c>
      <c r="C42" s="1314" t="s">
        <v>1752</v>
      </c>
      <c r="D42" s="1305" t="s">
        <v>2242</v>
      </c>
      <c r="E42" s="531">
        <v>11.78</v>
      </c>
      <c r="F42" s="1305">
        <v>0.58909722222222227</v>
      </c>
      <c r="G42" s="1304" t="s">
        <v>840</v>
      </c>
      <c r="H42" s="1304" t="s">
        <v>841</v>
      </c>
      <c r="I42" s="543"/>
      <c r="J42" s="1631" t="s">
        <v>1568</v>
      </c>
      <c r="K42" s="1330" t="s">
        <v>1770</v>
      </c>
      <c r="L42" s="1331" t="s">
        <v>2051</v>
      </c>
      <c r="M42" s="531">
        <v>5</v>
      </c>
      <c r="N42" s="1331" t="s">
        <v>2052</v>
      </c>
      <c r="O42" s="1304" t="s">
        <v>840</v>
      </c>
      <c r="P42" s="1304" t="s">
        <v>841</v>
      </c>
      <c r="Q42" s="604"/>
      <c r="R42" s="1316" t="s">
        <v>1547</v>
      </c>
      <c r="S42" s="1637" t="s">
        <v>1753</v>
      </c>
      <c r="T42" s="534" t="s">
        <v>1706</v>
      </c>
      <c r="U42" s="534">
        <v>9.4499999999999993</v>
      </c>
      <c r="V42" s="534" t="s">
        <v>1710</v>
      </c>
      <c r="W42" s="1322" t="s">
        <v>840</v>
      </c>
      <c r="X42" s="1322" t="s">
        <v>841</v>
      </c>
      <c r="Y42" s="605"/>
      <c r="Z42" s="1307" t="s">
        <v>1931</v>
      </c>
      <c r="AA42" s="1309" t="s">
        <v>2205</v>
      </c>
      <c r="AB42" s="530" t="s">
        <v>2206</v>
      </c>
      <c r="AC42" s="531">
        <v>7</v>
      </c>
      <c r="AD42" s="530" t="s">
        <v>2207</v>
      </c>
      <c r="AE42" s="1304" t="s">
        <v>840</v>
      </c>
      <c r="AF42" s="1304" t="s">
        <v>841</v>
      </c>
      <c r="AG42" s="605"/>
      <c r="AH42" s="1308" t="s">
        <v>1538</v>
      </c>
      <c r="AI42" s="1313" t="s">
        <v>1754</v>
      </c>
      <c r="AJ42" s="530" t="s">
        <v>1456</v>
      </c>
      <c r="AK42" s="531">
        <v>9.1199999999999992</v>
      </c>
      <c r="AL42" s="530" t="s">
        <v>1457</v>
      </c>
      <c r="AM42" s="1304" t="s">
        <v>840</v>
      </c>
      <c r="AN42" s="1304" t="s">
        <v>841</v>
      </c>
      <c r="AO42" s="605"/>
      <c r="AP42" s="1312" t="s">
        <v>1716</v>
      </c>
      <c r="AQ42" s="1313" t="s">
        <v>1883</v>
      </c>
      <c r="AR42" s="1323" t="s">
        <v>2742</v>
      </c>
      <c r="AS42" s="537">
        <v>7.59</v>
      </c>
      <c r="AT42" s="1323" t="s">
        <v>1482</v>
      </c>
      <c r="AU42" s="1311" t="s">
        <v>840</v>
      </c>
      <c r="AV42" s="1311" t="s">
        <v>841</v>
      </c>
      <c r="AW42" s="1319"/>
      <c r="AX42" s="1312" t="s">
        <v>1540</v>
      </c>
      <c r="AY42" s="1314" t="s">
        <v>1755</v>
      </c>
      <c r="AZ42" s="1496" t="s">
        <v>1490</v>
      </c>
      <c r="BA42" s="579">
        <v>9.65</v>
      </c>
      <c r="BB42" s="1496" t="s">
        <v>1491</v>
      </c>
      <c r="BC42" s="1304" t="s">
        <v>840</v>
      </c>
      <c r="BD42" s="1311" t="s">
        <v>841</v>
      </c>
      <c r="BE42" s="543"/>
      <c r="BF42" s="1336" t="s">
        <v>2672</v>
      </c>
      <c r="BG42" s="1314" t="s">
        <v>1884</v>
      </c>
      <c r="BH42" s="534" t="s">
        <v>2742</v>
      </c>
      <c r="BI42" s="534">
        <v>7.75</v>
      </c>
      <c r="BJ42" s="534" t="s">
        <v>2743</v>
      </c>
      <c r="BK42" s="1311" t="s">
        <v>840</v>
      </c>
      <c r="BL42" s="1311" t="s">
        <v>841</v>
      </c>
    </row>
    <row r="43" spans="1:64" s="315" customFormat="1" ht="11.25" customHeight="1">
      <c r="A43" s="470"/>
      <c r="B43" s="471" t="s">
        <v>1518</v>
      </c>
      <c r="C43" s="674" t="s">
        <v>1752</v>
      </c>
      <c r="D43" s="677" t="s">
        <v>2243</v>
      </c>
      <c r="E43" s="483">
        <v>11.78</v>
      </c>
      <c r="F43" s="677" t="s">
        <v>2244</v>
      </c>
      <c r="G43" s="671" t="s">
        <v>840</v>
      </c>
      <c r="H43" s="671" t="s">
        <v>841</v>
      </c>
      <c r="I43" s="488"/>
      <c r="J43" s="498" t="s">
        <v>1569</v>
      </c>
      <c r="K43" s="670" t="s">
        <v>1772</v>
      </c>
      <c r="L43" s="677" t="s">
        <v>2051</v>
      </c>
      <c r="M43" s="483">
        <v>5</v>
      </c>
      <c r="N43" s="677" t="s">
        <v>2052</v>
      </c>
      <c r="O43" s="671" t="s">
        <v>840</v>
      </c>
      <c r="P43" s="671" t="s">
        <v>841</v>
      </c>
      <c r="Q43" s="451"/>
      <c r="R43" s="1636" t="s">
        <v>1548</v>
      </c>
      <c r="S43" s="873" t="s">
        <v>1753</v>
      </c>
      <c r="T43" s="409" t="s">
        <v>1707</v>
      </c>
      <c r="U43" s="1638">
        <v>9.4499999999999993</v>
      </c>
      <c r="V43" s="437" t="s">
        <v>1711</v>
      </c>
      <c r="W43" s="671" t="s">
        <v>840</v>
      </c>
      <c r="X43" s="1479" t="s">
        <v>841</v>
      </c>
      <c r="Z43" s="670" t="s">
        <v>1939</v>
      </c>
      <c r="AA43" s="672" t="s">
        <v>2208</v>
      </c>
      <c r="AB43" s="482" t="s">
        <v>2206</v>
      </c>
      <c r="AC43" s="483">
        <v>7</v>
      </c>
      <c r="AD43" s="482" t="s">
        <v>2207</v>
      </c>
      <c r="AE43" s="671" t="s">
        <v>840</v>
      </c>
      <c r="AF43" s="671" t="s">
        <v>841</v>
      </c>
      <c r="AH43" s="963" t="s">
        <v>1536</v>
      </c>
      <c r="AI43" s="673" t="s">
        <v>1754</v>
      </c>
      <c r="AJ43" s="482" t="s">
        <v>1458</v>
      </c>
      <c r="AK43" s="483">
        <v>9.1999999999999993</v>
      </c>
      <c r="AL43" s="482" t="s">
        <v>1459</v>
      </c>
      <c r="AM43" s="671" t="s">
        <v>840</v>
      </c>
      <c r="AN43" s="671" t="s">
        <v>841</v>
      </c>
      <c r="AO43" s="480"/>
      <c r="AP43" s="481" t="s">
        <v>1717</v>
      </c>
      <c r="AQ43" s="673" t="s">
        <v>1883</v>
      </c>
      <c r="AR43" s="415" t="s">
        <v>2779</v>
      </c>
      <c r="AS43" s="43">
        <v>7.79</v>
      </c>
      <c r="AT43" s="415" t="s">
        <v>1491</v>
      </c>
      <c r="AU43" s="509" t="s">
        <v>840</v>
      </c>
      <c r="AV43" s="509" t="s">
        <v>841</v>
      </c>
      <c r="AW43" s="484"/>
      <c r="AX43" s="481" t="s">
        <v>1541</v>
      </c>
      <c r="AY43" s="674" t="s">
        <v>1755</v>
      </c>
      <c r="AZ43" s="409" t="s">
        <v>2831</v>
      </c>
      <c r="BA43" s="477">
        <v>9.65</v>
      </c>
      <c r="BB43" s="409" t="s">
        <v>2800</v>
      </c>
      <c r="BC43" s="671" t="s">
        <v>840</v>
      </c>
      <c r="BD43" s="509" t="s">
        <v>841</v>
      </c>
      <c r="BF43" s="1335" t="s">
        <v>1924</v>
      </c>
      <c r="BG43" s="674" t="s">
        <v>1884</v>
      </c>
      <c r="BH43" s="42" t="s">
        <v>2779</v>
      </c>
      <c r="BI43" s="42">
        <v>8.24</v>
      </c>
      <c r="BJ43" s="42" t="s">
        <v>2780</v>
      </c>
      <c r="BK43" s="509" t="s">
        <v>840</v>
      </c>
      <c r="BL43" s="509" t="s">
        <v>841</v>
      </c>
    </row>
    <row r="44" spans="1:64" s="315" customFormat="1" ht="11.25" customHeight="1">
      <c r="A44" s="581"/>
      <c r="B44" s="1302" t="s">
        <v>1519</v>
      </c>
      <c r="C44" s="1070" t="s">
        <v>1752</v>
      </c>
      <c r="D44" s="1305" t="s">
        <v>2279</v>
      </c>
      <c r="E44" s="531">
        <v>11.78</v>
      </c>
      <c r="F44" s="1305" t="s">
        <v>2280</v>
      </c>
      <c r="G44" s="1304" t="s">
        <v>840</v>
      </c>
      <c r="H44" s="1304" t="s">
        <v>841</v>
      </c>
      <c r="I44" s="1329"/>
      <c r="J44" s="1631" t="s">
        <v>1570</v>
      </c>
      <c r="K44" s="1307" t="s">
        <v>1773</v>
      </c>
      <c r="L44" s="1305" t="s">
        <v>2051</v>
      </c>
      <c r="M44" s="531">
        <v>5</v>
      </c>
      <c r="N44" s="1305" t="s">
        <v>2052</v>
      </c>
      <c r="O44" s="1304" t="s">
        <v>840</v>
      </c>
      <c r="P44" s="1304" t="s">
        <v>841</v>
      </c>
      <c r="Q44" s="553"/>
      <c r="R44" s="1316" t="s">
        <v>1549</v>
      </c>
      <c r="S44" s="1321" t="s">
        <v>1753</v>
      </c>
      <c r="T44" s="1496" t="s">
        <v>1708</v>
      </c>
      <c r="U44" s="1499">
        <v>9.4499999999999993</v>
      </c>
      <c r="V44" s="525" t="s">
        <v>1712</v>
      </c>
      <c r="W44" s="1304" t="s">
        <v>840</v>
      </c>
      <c r="X44" s="1480" t="s">
        <v>841</v>
      </c>
      <c r="Y44" s="605"/>
      <c r="Z44" s="1318" t="s">
        <v>1966</v>
      </c>
      <c r="AA44" s="1309" t="s">
        <v>2209</v>
      </c>
      <c r="AB44" s="530" t="s">
        <v>2206</v>
      </c>
      <c r="AC44" s="531">
        <v>7</v>
      </c>
      <c r="AD44" s="530" t="s">
        <v>2207</v>
      </c>
      <c r="AE44" s="1304" t="s">
        <v>840</v>
      </c>
      <c r="AF44" s="1304" t="s">
        <v>841</v>
      </c>
      <c r="AG44" s="605"/>
      <c r="AH44" s="1312" t="s">
        <v>1537</v>
      </c>
      <c r="AI44" s="1313" t="s">
        <v>1754</v>
      </c>
      <c r="AJ44" s="534" t="s">
        <v>1488</v>
      </c>
      <c r="AK44" s="537">
        <v>9.3000000000000007</v>
      </c>
      <c r="AL44" s="534" t="s">
        <v>1489</v>
      </c>
      <c r="AM44" s="1311" t="s">
        <v>840</v>
      </c>
      <c r="AN44" s="1304" t="s">
        <v>841</v>
      </c>
      <c r="AO44" s="605"/>
      <c r="AP44" s="1312" t="s">
        <v>1718</v>
      </c>
      <c r="AQ44" s="1313" t="s">
        <v>1883</v>
      </c>
      <c r="AR44" s="1323" t="s">
        <v>2799</v>
      </c>
      <c r="AS44" s="537">
        <v>7.84</v>
      </c>
      <c r="AT44" s="1323" t="s">
        <v>2800</v>
      </c>
      <c r="AU44" s="1311" t="s">
        <v>840</v>
      </c>
      <c r="AV44" s="1311" t="s">
        <v>841</v>
      </c>
      <c r="AW44" s="1319"/>
      <c r="AX44" s="1312" t="s">
        <v>1542</v>
      </c>
      <c r="AY44" s="1314" t="s">
        <v>1755</v>
      </c>
      <c r="AZ44" s="1496" t="s">
        <v>2832</v>
      </c>
      <c r="BA44" s="579">
        <v>9.65</v>
      </c>
      <c r="BB44" s="1496" t="s">
        <v>2828</v>
      </c>
      <c r="BC44" s="1304" t="s">
        <v>840</v>
      </c>
      <c r="BD44" s="1311" t="s">
        <v>841</v>
      </c>
      <c r="BE44" s="543"/>
      <c r="BF44" s="1341" t="s">
        <v>1925</v>
      </c>
      <c r="BG44" s="1314" t="s">
        <v>1884</v>
      </c>
      <c r="BH44" s="534" t="s">
        <v>2799</v>
      </c>
      <c r="BI44" s="534">
        <v>8.2899999999999991</v>
      </c>
      <c r="BJ44" s="534" t="s">
        <v>2802</v>
      </c>
      <c r="BK44" s="1311" t="s">
        <v>840</v>
      </c>
      <c r="BL44" s="1311" t="s">
        <v>841</v>
      </c>
    </row>
    <row r="45" spans="1:64" s="315" customFormat="1" ht="11.25" customHeight="1">
      <c r="A45" s="470"/>
      <c r="B45" s="471" t="s">
        <v>1520</v>
      </c>
      <c r="C45" s="674" t="s">
        <v>1752</v>
      </c>
      <c r="D45" s="677" t="s">
        <v>2295</v>
      </c>
      <c r="E45" s="483">
        <v>11.73</v>
      </c>
      <c r="F45" s="677" t="s">
        <v>2296</v>
      </c>
      <c r="G45" s="671" t="s">
        <v>840</v>
      </c>
      <c r="H45" s="671" t="s">
        <v>841</v>
      </c>
      <c r="I45" s="315" t="s">
        <v>1302</v>
      </c>
      <c r="J45" s="487" t="s">
        <v>1500</v>
      </c>
      <c r="K45" s="505" t="s">
        <v>1753</v>
      </c>
      <c r="L45" s="677" t="s">
        <v>1314</v>
      </c>
      <c r="M45" s="483">
        <v>8.5</v>
      </c>
      <c r="N45" s="677" t="s">
        <v>1326</v>
      </c>
      <c r="O45" s="671" t="s">
        <v>840</v>
      </c>
      <c r="P45" s="671" t="s">
        <v>841</v>
      </c>
      <c r="Q45" s="451"/>
      <c r="R45" s="963" t="s">
        <v>1550</v>
      </c>
      <c r="S45" s="672" t="s">
        <v>1753</v>
      </c>
      <c r="T45" s="450" t="s">
        <v>1709</v>
      </c>
      <c r="U45" s="20">
        <v>9.5</v>
      </c>
      <c r="V45" s="418" t="s">
        <v>1713</v>
      </c>
      <c r="W45" s="671" t="s">
        <v>840</v>
      </c>
      <c r="X45" s="671" t="s">
        <v>841</v>
      </c>
      <c r="Y45" s="480"/>
      <c r="Z45" s="670" t="s">
        <v>1970</v>
      </c>
      <c r="AA45" s="872" t="s">
        <v>1761</v>
      </c>
      <c r="AB45" s="450" t="s">
        <v>2051</v>
      </c>
      <c r="AC45" s="20">
        <v>5</v>
      </c>
      <c r="AD45" s="418" t="s">
        <v>2071</v>
      </c>
      <c r="AE45" s="509" t="s">
        <v>840</v>
      </c>
      <c r="AF45" s="671" t="s">
        <v>841</v>
      </c>
      <c r="AG45" s="480"/>
      <c r="AH45" s="481" t="s">
        <v>1538</v>
      </c>
      <c r="AI45" s="673" t="s">
        <v>1754</v>
      </c>
      <c r="AJ45" s="42" t="s">
        <v>2134</v>
      </c>
      <c r="AK45" s="43">
        <v>9.35</v>
      </c>
      <c r="AL45" s="42" t="s">
        <v>2135</v>
      </c>
      <c r="AM45" s="509" t="s">
        <v>840</v>
      </c>
      <c r="AN45" s="671" t="s">
        <v>841</v>
      </c>
      <c r="AP45" s="481" t="s">
        <v>2670</v>
      </c>
      <c r="AQ45" s="673" t="s">
        <v>1883</v>
      </c>
      <c r="AR45" s="415" t="s">
        <v>2827</v>
      </c>
      <c r="AS45" s="43">
        <v>8</v>
      </c>
      <c r="AT45" s="415" t="s">
        <v>2828</v>
      </c>
      <c r="AU45" s="509" t="s">
        <v>840</v>
      </c>
      <c r="AV45" s="509" t="s">
        <v>841</v>
      </c>
      <c r="AX45" s="481" t="s">
        <v>1543</v>
      </c>
      <c r="AY45" s="674" t="s">
        <v>1755</v>
      </c>
      <c r="AZ45" s="409" t="s">
        <v>2833</v>
      </c>
      <c r="BA45" s="409">
        <v>10</v>
      </c>
      <c r="BB45" s="409" t="s">
        <v>2830</v>
      </c>
      <c r="BC45" s="671" t="s">
        <v>840</v>
      </c>
      <c r="BD45" s="509" t="s">
        <v>841</v>
      </c>
      <c r="BF45" s="1364" t="s">
        <v>1926</v>
      </c>
      <c r="BG45" s="674" t="s">
        <v>1884</v>
      </c>
      <c r="BH45" s="42" t="s">
        <v>2827</v>
      </c>
      <c r="BI45" s="43">
        <v>8.5</v>
      </c>
      <c r="BJ45" s="42" t="s">
        <v>2835</v>
      </c>
      <c r="BK45" s="509" t="s">
        <v>840</v>
      </c>
      <c r="BL45" s="509" t="s">
        <v>841</v>
      </c>
    </row>
    <row r="46" spans="1:64" s="315" customFormat="1" ht="11.25" customHeight="1">
      <c r="A46" s="581"/>
      <c r="B46" s="1302" t="s">
        <v>1521</v>
      </c>
      <c r="C46" s="1314" t="s">
        <v>1752</v>
      </c>
      <c r="D46" s="1305" t="s">
        <v>2304</v>
      </c>
      <c r="E46" s="531">
        <v>11.45</v>
      </c>
      <c r="F46" s="1305" t="s">
        <v>2305</v>
      </c>
      <c r="G46" s="1304" t="s">
        <v>840</v>
      </c>
      <c r="H46" s="1304" t="s">
        <v>841</v>
      </c>
      <c r="I46" s="543"/>
      <c r="J46" s="1306" t="s">
        <v>1501</v>
      </c>
      <c r="K46" s="1307" t="s">
        <v>1753</v>
      </c>
      <c r="L46" s="1305" t="s">
        <v>1315</v>
      </c>
      <c r="M46" s="531">
        <v>8.5</v>
      </c>
      <c r="N46" s="1305" t="s">
        <v>1327</v>
      </c>
      <c r="O46" s="1304" t="s">
        <v>840</v>
      </c>
      <c r="P46" s="1304" t="s">
        <v>841</v>
      </c>
      <c r="Q46" s="553"/>
      <c r="R46" s="1308" t="s">
        <v>1551</v>
      </c>
      <c r="S46" s="1309" t="s">
        <v>1753</v>
      </c>
      <c r="T46" s="576" t="s">
        <v>2120</v>
      </c>
      <c r="U46" s="580">
        <v>9.5299999999999994</v>
      </c>
      <c r="V46" s="539" t="s">
        <v>2121</v>
      </c>
      <c r="W46" s="1311" t="s">
        <v>840</v>
      </c>
      <c r="X46" s="1304" t="s">
        <v>841</v>
      </c>
      <c r="Y46" s="605"/>
      <c r="Z46" s="1318" t="s">
        <v>2027</v>
      </c>
      <c r="AA46" s="1310" t="s">
        <v>1762</v>
      </c>
      <c r="AB46" s="530" t="s">
        <v>2051</v>
      </c>
      <c r="AC46" s="579">
        <v>5</v>
      </c>
      <c r="AD46" s="525" t="s">
        <v>2071</v>
      </c>
      <c r="AE46" s="1304" t="s">
        <v>840</v>
      </c>
      <c r="AF46" s="1304" t="s">
        <v>841</v>
      </c>
      <c r="AG46" s="543"/>
      <c r="AH46" s="1330" t="s">
        <v>1536</v>
      </c>
      <c r="AI46" s="1330" t="s">
        <v>1754</v>
      </c>
      <c r="AJ46" s="534" t="s">
        <v>2136</v>
      </c>
      <c r="AK46" s="534">
        <v>9.35</v>
      </c>
      <c r="AL46" s="534" t="s">
        <v>2137</v>
      </c>
      <c r="AM46" s="1311" t="s">
        <v>840</v>
      </c>
      <c r="AN46" s="1322" t="s">
        <v>841</v>
      </c>
      <c r="AO46" s="605"/>
      <c r="AP46" s="1308" t="s">
        <v>2671</v>
      </c>
      <c r="AQ46" s="1313" t="s">
        <v>1883</v>
      </c>
      <c r="AR46" s="1305" t="s">
        <v>2829</v>
      </c>
      <c r="AS46" s="531">
        <v>8</v>
      </c>
      <c r="AT46" s="1305" t="s">
        <v>2830</v>
      </c>
      <c r="AU46" s="1304" t="s">
        <v>840</v>
      </c>
      <c r="AV46" s="1304" t="s">
        <v>841</v>
      </c>
      <c r="AW46" s="576"/>
      <c r="AX46" s="1308" t="s">
        <v>1544</v>
      </c>
      <c r="AY46" s="1070" t="s">
        <v>1755</v>
      </c>
      <c r="AZ46" s="1317" t="s">
        <v>2895</v>
      </c>
      <c r="BA46" s="531">
        <v>10.25</v>
      </c>
      <c r="BB46" s="1317" t="s">
        <v>2093</v>
      </c>
      <c r="BC46" s="1304" t="s">
        <v>840</v>
      </c>
      <c r="BD46" s="1304" t="s">
        <v>841</v>
      </c>
      <c r="BE46" s="543"/>
      <c r="BF46" s="1341" t="s">
        <v>1927</v>
      </c>
      <c r="BG46" s="1314" t="s">
        <v>1884</v>
      </c>
      <c r="BH46" s="534" t="s">
        <v>2829</v>
      </c>
      <c r="BI46" s="537">
        <v>8.48</v>
      </c>
      <c r="BJ46" s="534" t="s">
        <v>2836</v>
      </c>
      <c r="BK46" s="1311" t="s">
        <v>840</v>
      </c>
      <c r="BL46" s="1311" t="s">
        <v>841</v>
      </c>
    </row>
    <row r="47" spans="1:64" s="315" customFormat="1" ht="11.25" customHeight="1">
      <c r="A47" s="470"/>
      <c r="B47" s="471" t="s">
        <v>1522</v>
      </c>
      <c r="C47" s="675" t="s">
        <v>1752</v>
      </c>
      <c r="D47" s="677" t="s">
        <v>2309</v>
      </c>
      <c r="E47" s="483">
        <v>11.23</v>
      </c>
      <c r="F47" s="677" t="s">
        <v>2310</v>
      </c>
      <c r="G47" s="671" t="s">
        <v>840</v>
      </c>
      <c r="H47" s="671" t="s">
        <v>841</v>
      </c>
      <c r="I47" s="480"/>
      <c r="J47" s="1632" t="s">
        <v>1502</v>
      </c>
      <c r="K47" s="670" t="s">
        <v>1753</v>
      </c>
      <c r="L47" s="677" t="s">
        <v>1316</v>
      </c>
      <c r="M47" s="483">
        <v>8.5</v>
      </c>
      <c r="N47" s="677" t="s">
        <v>1328</v>
      </c>
      <c r="O47" s="671" t="s">
        <v>840</v>
      </c>
      <c r="P47" s="671" t="s">
        <v>841</v>
      </c>
      <c r="Q47" s="451"/>
      <c r="R47" s="481" t="s">
        <v>1552</v>
      </c>
      <c r="S47" s="672" t="s">
        <v>1753</v>
      </c>
      <c r="T47" s="450" t="s">
        <v>2122</v>
      </c>
      <c r="U47" s="20">
        <v>9.5500000000000007</v>
      </c>
      <c r="V47" s="418" t="s">
        <v>2123</v>
      </c>
      <c r="W47" s="509" t="s">
        <v>840</v>
      </c>
      <c r="X47" s="671" t="s">
        <v>841</v>
      </c>
      <c r="Y47" s="480"/>
      <c r="Z47" s="486" t="s">
        <v>2160</v>
      </c>
      <c r="AA47" s="872" t="s">
        <v>1763</v>
      </c>
      <c r="AB47" s="42" t="s">
        <v>2051</v>
      </c>
      <c r="AC47" s="20">
        <v>5</v>
      </c>
      <c r="AD47" s="418" t="s">
        <v>2071</v>
      </c>
      <c r="AE47" s="509" t="s">
        <v>840</v>
      </c>
      <c r="AF47" s="671" t="s">
        <v>841</v>
      </c>
      <c r="AH47" s="481" t="s">
        <v>1537</v>
      </c>
      <c r="AI47" s="673" t="s">
        <v>1754</v>
      </c>
      <c r="AJ47" s="42" t="s">
        <v>2138</v>
      </c>
      <c r="AK47" s="43">
        <v>9.65</v>
      </c>
      <c r="AL47" s="42" t="s">
        <v>2139</v>
      </c>
      <c r="AM47" s="509" t="s">
        <v>840</v>
      </c>
      <c r="AN47" s="671" t="s">
        <v>841</v>
      </c>
      <c r="AO47" s="480"/>
      <c r="AP47" s="963" t="s">
        <v>1721</v>
      </c>
      <c r="AQ47" s="673" t="s">
        <v>1883</v>
      </c>
      <c r="AR47" s="677" t="s">
        <v>2847</v>
      </c>
      <c r="AS47" s="483">
        <v>8</v>
      </c>
      <c r="AT47" s="677" t="s">
        <v>2848</v>
      </c>
      <c r="AU47" s="671" t="s">
        <v>840</v>
      </c>
      <c r="AV47" s="671" t="s">
        <v>841</v>
      </c>
      <c r="AX47" s="963" t="s">
        <v>1545</v>
      </c>
      <c r="AY47" s="675" t="s">
        <v>1755</v>
      </c>
      <c r="AZ47" s="416" t="s">
        <v>2896</v>
      </c>
      <c r="BA47" s="43">
        <v>10.85</v>
      </c>
      <c r="BB47" s="416" t="s">
        <v>2834</v>
      </c>
      <c r="BC47" s="671" t="s">
        <v>840</v>
      </c>
      <c r="BD47" s="671" t="s">
        <v>841</v>
      </c>
      <c r="BF47" s="481" t="s">
        <v>1928</v>
      </c>
      <c r="BG47" s="674" t="s">
        <v>1884</v>
      </c>
      <c r="BH47" s="42" t="s">
        <v>2891</v>
      </c>
      <c r="BI47" s="43">
        <v>8.19</v>
      </c>
      <c r="BJ47" s="42" t="s">
        <v>2893</v>
      </c>
      <c r="BK47" s="509" t="s">
        <v>840</v>
      </c>
      <c r="BL47" s="509" t="s">
        <v>841</v>
      </c>
    </row>
    <row r="48" spans="1:64" s="315" customFormat="1" ht="11.25" customHeight="1">
      <c r="A48" s="581"/>
      <c r="B48" s="1302" t="s">
        <v>1523</v>
      </c>
      <c r="C48" s="1070" t="s">
        <v>1752</v>
      </c>
      <c r="D48" s="1305" t="s">
        <v>2311</v>
      </c>
      <c r="E48" s="531">
        <v>11.23</v>
      </c>
      <c r="F48" s="1305" t="s">
        <v>2312</v>
      </c>
      <c r="G48" s="1304" t="s">
        <v>840</v>
      </c>
      <c r="H48" s="1304" t="s">
        <v>841</v>
      </c>
      <c r="I48" s="605"/>
      <c r="J48" s="1306" t="s">
        <v>1503</v>
      </c>
      <c r="K48" s="1307" t="s">
        <v>1753</v>
      </c>
      <c r="L48" s="1625" t="s">
        <v>1317</v>
      </c>
      <c r="M48" s="579">
        <v>12.15</v>
      </c>
      <c r="N48" s="1625" t="s">
        <v>1088</v>
      </c>
      <c r="O48" s="1304" t="s">
        <v>840</v>
      </c>
      <c r="P48" s="1304" t="s">
        <v>841</v>
      </c>
      <c r="Q48" s="553"/>
      <c r="R48" s="1312" t="s">
        <v>1553</v>
      </c>
      <c r="S48" s="1309" t="s">
        <v>1753</v>
      </c>
      <c r="T48" s="1390" t="s">
        <v>2124</v>
      </c>
      <c r="U48" s="579">
        <v>9.5500000000000007</v>
      </c>
      <c r="V48" s="1320" t="s">
        <v>2125</v>
      </c>
      <c r="W48" s="1311" t="s">
        <v>840</v>
      </c>
      <c r="X48" s="1304" t="s">
        <v>841</v>
      </c>
      <c r="Y48" s="605"/>
      <c r="Z48" s="1307" t="s">
        <v>2169</v>
      </c>
      <c r="AA48" s="1310" t="s">
        <v>1757</v>
      </c>
      <c r="AB48" s="530" t="s">
        <v>1096</v>
      </c>
      <c r="AC48" s="579">
        <v>5</v>
      </c>
      <c r="AD48" s="525" t="s">
        <v>925</v>
      </c>
      <c r="AE48" s="1304" t="s">
        <v>840</v>
      </c>
      <c r="AF48" s="1304" t="s">
        <v>841</v>
      </c>
      <c r="AG48" s="543"/>
      <c r="AH48" s="1308" t="s">
        <v>1538</v>
      </c>
      <c r="AI48" s="1313" t="s">
        <v>1754</v>
      </c>
      <c r="AJ48" s="530" t="s">
        <v>2140</v>
      </c>
      <c r="AK48" s="531">
        <v>10.3</v>
      </c>
      <c r="AL48" s="530" t="s">
        <v>2141</v>
      </c>
      <c r="AM48" s="1304" t="s">
        <v>840</v>
      </c>
      <c r="AN48" s="1304" t="s">
        <v>841</v>
      </c>
      <c r="AO48" s="543"/>
      <c r="AP48" s="1308" t="s">
        <v>2801</v>
      </c>
      <c r="AQ48" s="1313" t="s">
        <v>1883</v>
      </c>
      <c r="AR48" s="1305" t="s">
        <v>2891</v>
      </c>
      <c r="AS48" s="531">
        <v>7.69</v>
      </c>
      <c r="AT48" s="1305" t="s">
        <v>2892</v>
      </c>
      <c r="AU48" s="1304" t="s">
        <v>840</v>
      </c>
      <c r="AV48" s="1304" t="s">
        <v>841</v>
      </c>
      <c r="AW48" s="576"/>
      <c r="AX48" s="1308" t="s">
        <v>1546</v>
      </c>
      <c r="AY48" s="1070" t="s">
        <v>1755</v>
      </c>
      <c r="AZ48" s="1315" t="s">
        <v>2894</v>
      </c>
      <c r="BA48" s="537">
        <v>11.5</v>
      </c>
      <c r="BB48" s="1315" t="s">
        <v>1731</v>
      </c>
      <c r="BC48" s="1304" t="s">
        <v>840</v>
      </c>
      <c r="BD48" s="1304" t="s">
        <v>841</v>
      </c>
      <c r="BE48" s="543"/>
      <c r="BF48" s="1312" t="s">
        <v>1929</v>
      </c>
      <c r="BG48" s="1314" t="s">
        <v>1884</v>
      </c>
      <c r="BH48" s="534" t="s">
        <v>2915</v>
      </c>
      <c r="BI48" s="537">
        <v>8</v>
      </c>
      <c r="BJ48" s="534" t="s">
        <v>2918</v>
      </c>
      <c r="BK48" s="1311" t="s">
        <v>840</v>
      </c>
      <c r="BL48" s="1311" t="s">
        <v>841</v>
      </c>
    </row>
    <row r="49" spans="1:64" s="315" customFormat="1" ht="11.25" customHeight="1">
      <c r="A49" s="470"/>
      <c r="B49" s="471" t="s">
        <v>1524</v>
      </c>
      <c r="C49" s="675" t="s">
        <v>1752</v>
      </c>
      <c r="D49" s="677" t="s">
        <v>2317</v>
      </c>
      <c r="E49" s="483">
        <v>11.11</v>
      </c>
      <c r="F49" s="677" t="s">
        <v>2318</v>
      </c>
      <c r="G49" s="671" t="s">
        <v>840</v>
      </c>
      <c r="H49" s="671" t="s">
        <v>841</v>
      </c>
      <c r="I49" s="450"/>
      <c r="J49" s="471" t="s">
        <v>1504</v>
      </c>
      <c r="K49" s="672" t="s">
        <v>1753</v>
      </c>
      <c r="L49" s="437" t="s">
        <v>1318</v>
      </c>
      <c r="M49" s="434">
        <v>12.15</v>
      </c>
      <c r="N49" s="437" t="s">
        <v>1089</v>
      </c>
      <c r="O49" s="1391" t="s">
        <v>840</v>
      </c>
      <c r="P49" s="671" t="s">
        <v>841</v>
      </c>
      <c r="Q49" s="451"/>
      <c r="R49" s="479" t="s">
        <v>1554</v>
      </c>
      <c r="S49" s="672" t="s">
        <v>1753</v>
      </c>
      <c r="T49" s="409" t="s">
        <v>2126</v>
      </c>
      <c r="U49" s="477">
        <v>9.5500000000000007</v>
      </c>
      <c r="V49" s="437" t="s">
        <v>2127</v>
      </c>
      <c r="W49" s="671" t="s">
        <v>840</v>
      </c>
      <c r="X49" s="671" t="s">
        <v>841</v>
      </c>
      <c r="Y49" s="480"/>
      <c r="Z49" s="670" t="s">
        <v>2181</v>
      </c>
      <c r="AA49" s="872" t="s">
        <v>1758</v>
      </c>
      <c r="AB49" s="482" t="s">
        <v>1096</v>
      </c>
      <c r="AC49" s="477">
        <v>5</v>
      </c>
      <c r="AD49" s="437" t="s">
        <v>926</v>
      </c>
      <c r="AE49" s="671" t="s">
        <v>840</v>
      </c>
      <c r="AF49" s="671" t="s">
        <v>841</v>
      </c>
      <c r="AH49" s="481" t="s">
        <v>1539</v>
      </c>
      <c r="AI49" s="673" t="s">
        <v>1754</v>
      </c>
      <c r="AJ49" s="42" t="s">
        <v>2142</v>
      </c>
      <c r="AK49" s="43">
        <v>10.99</v>
      </c>
      <c r="AL49" s="42" t="s">
        <v>2143</v>
      </c>
      <c r="AM49" s="509" t="s">
        <v>840</v>
      </c>
      <c r="AN49" s="671" t="s">
        <v>841</v>
      </c>
      <c r="AP49" s="963" t="s">
        <v>2711</v>
      </c>
      <c r="AQ49" s="673" t="s">
        <v>1883</v>
      </c>
      <c r="AR49" s="677" t="s">
        <v>2915</v>
      </c>
      <c r="AS49" s="483">
        <v>7.54</v>
      </c>
      <c r="AT49" s="677" t="s">
        <v>2916</v>
      </c>
      <c r="AU49" s="671" t="s">
        <v>840</v>
      </c>
      <c r="AV49" s="671" t="s">
        <v>841</v>
      </c>
      <c r="AX49" s="963" t="s">
        <v>1547</v>
      </c>
      <c r="AY49" s="675" t="s">
        <v>1755</v>
      </c>
      <c r="AZ49" s="416" t="s">
        <v>2094</v>
      </c>
      <c r="BA49" s="43">
        <v>11.5</v>
      </c>
      <c r="BB49" s="416" t="s">
        <v>2095</v>
      </c>
      <c r="BC49" s="671" t="s">
        <v>840</v>
      </c>
      <c r="BD49" s="671" t="s">
        <v>841</v>
      </c>
      <c r="BE49" s="450"/>
      <c r="BF49" s="481" t="s">
        <v>2888</v>
      </c>
      <c r="BG49" s="674" t="s">
        <v>1884</v>
      </c>
      <c r="BH49" s="42" t="s">
        <v>2935</v>
      </c>
      <c r="BI49" s="43">
        <v>7.94</v>
      </c>
      <c r="BJ49" s="42" t="s">
        <v>2936</v>
      </c>
      <c r="BK49" s="509" t="s">
        <v>840</v>
      </c>
      <c r="BL49" s="509" t="s">
        <v>841</v>
      </c>
    </row>
    <row r="50" spans="1:64" s="315" customFormat="1" ht="11.25" customHeight="1">
      <c r="A50" s="1319"/>
      <c r="B50" s="1316" t="s">
        <v>2562</v>
      </c>
      <c r="C50" s="1314" t="s">
        <v>1752</v>
      </c>
      <c r="D50" s="1305" t="s">
        <v>2328</v>
      </c>
      <c r="E50" s="531">
        <v>10.66</v>
      </c>
      <c r="F50" s="1305" t="s">
        <v>2329</v>
      </c>
      <c r="G50" s="1304" t="s">
        <v>840</v>
      </c>
      <c r="H50" s="1304" t="s">
        <v>841</v>
      </c>
      <c r="I50" s="605"/>
      <c r="J50" s="1302" t="s">
        <v>1505</v>
      </c>
      <c r="K50" s="1309" t="s">
        <v>1753</v>
      </c>
      <c r="L50" s="1625" t="s">
        <v>1319</v>
      </c>
      <c r="M50" s="579">
        <v>11.95</v>
      </c>
      <c r="N50" s="1625" t="s">
        <v>1090</v>
      </c>
      <c r="O50" s="1453" t="s">
        <v>840</v>
      </c>
      <c r="P50" s="1304" t="s">
        <v>841</v>
      </c>
      <c r="Q50" s="553"/>
      <c r="R50" s="606" t="s">
        <v>1555</v>
      </c>
      <c r="S50" s="1309" t="s">
        <v>1753</v>
      </c>
      <c r="T50" s="1390" t="s">
        <v>2128</v>
      </c>
      <c r="U50" s="579">
        <v>11.25</v>
      </c>
      <c r="V50" s="525" t="s">
        <v>2129</v>
      </c>
      <c r="W50" s="1304" t="s">
        <v>840</v>
      </c>
      <c r="X50" s="1304" t="s">
        <v>841</v>
      </c>
      <c r="Y50" s="605"/>
      <c r="Z50" s="1318" t="s">
        <v>2230</v>
      </c>
      <c r="AA50" s="1310" t="s">
        <v>1764</v>
      </c>
      <c r="AB50" s="576" t="s">
        <v>2051</v>
      </c>
      <c r="AC50" s="580">
        <v>5</v>
      </c>
      <c r="AD50" s="539" t="s">
        <v>2072</v>
      </c>
      <c r="AE50" s="1311" t="s">
        <v>840</v>
      </c>
      <c r="AF50" s="1304" t="s">
        <v>841</v>
      </c>
      <c r="AG50" s="543"/>
      <c r="AH50" s="1312" t="s">
        <v>1540</v>
      </c>
      <c r="AI50" s="1313" t="s">
        <v>1754</v>
      </c>
      <c r="AJ50" s="534" t="s">
        <v>2144</v>
      </c>
      <c r="AK50" s="537">
        <v>11</v>
      </c>
      <c r="AL50" s="534" t="s">
        <v>2145</v>
      </c>
      <c r="AM50" s="1311" t="s">
        <v>840</v>
      </c>
      <c r="AN50" s="1304" t="s">
        <v>841</v>
      </c>
      <c r="AO50" s="543"/>
      <c r="AP50" s="1308" t="s">
        <v>2934</v>
      </c>
      <c r="AQ50" s="1313" t="s">
        <v>1883</v>
      </c>
      <c r="AR50" s="530" t="s">
        <v>2935</v>
      </c>
      <c r="AS50" s="531">
        <v>7.75</v>
      </c>
      <c r="AT50" s="530" t="s">
        <v>2095</v>
      </c>
      <c r="AU50" s="1304" t="s">
        <v>840</v>
      </c>
      <c r="AV50" s="1304" t="s">
        <v>841</v>
      </c>
      <c r="AW50" s="576"/>
      <c r="AX50" s="1312" t="s">
        <v>1546</v>
      </c>
      <c r="AY50" s="1314" t="s">
        <v>1755</v>
      </c>
      <c r="AZ50" s="1547" t="s">
        <v>2917</v>
      </c>
      <c r="BA50" s="1297">
        <v>11.5</v>
      </c>
      <c r="BB50" s="1547" t="s">
        <v>1730</v>
      </c>
      <c r="BC50" s="1311" t="s">
        <v>840</v>
      </c>
      <c r="BD50" s="1311" t="s">
        <v>841</v>
      </c>
      <c r="BE50" s="576"/>
      <c r="BF50" s="1312" t="s">
        <v>1930</v>
      </c>
      <c r="BG50" s="1314" t="s">
        <v>1884</v>
      </c>
      <c r="BH50" s="534" t="s">
        <v>2960</v>
      </c>
      <c r="BI50" s="537">
        <v>7.89</v>
      </c>
      <c r="BJ50" s="534" t="s">
        <v>2962</v>
      </c>
      <c r="BK50" s="1311" t="s">
        <v>840</v>
      </c>
      <c r="BL50" s="1311" t="s">
        <v>841</v>
      </c>
    </row>
    <row r="51" spans="1:64" s="315" customFormat="1" ht="11.25" customHeight="1">
      <c r="B51" s="471" t="s">
        <v>1526</v>
      </c>
      <c r="C51" s="675" t="s">
        <v>1752</v>
      </c>
      <c r="D51" s="677" t="s">
        <v>2333</v>
      </c>
      <c r="E51" s="483">
        <v>10.25</v>
      </c>
      <c r="F51" s="677" t="s">
        <v>2334</v>
      </c>
      <c r="G51" s="671" t="s">
        <v>840</v>
      </c>
      <c r="H51" s="671" t="s">
        <v>841</v>
      </c>
      <c r="I51" s="470"/>
      <c r="J51" s="471" t="s">
        <v>1506</v>
      </c>
      <c r="K51" s="672" t="s">
        <v>1753</v>
      </c>
      <c r="L51" s="409" t="s">
        <v>1320</v>
      </c>
      <c r="M51" s="477">
        <v>11.85</v>
      </c>
      <c r="N51" s="409" t="s">
        <v>1091</v>
      </c>
      <c r="O51" s="671" t="s">
        <v>840</v>
      </c>
      <c r="P51" s="671" t="s">
        <v>841</v>
      </c>
      <c r="R51" s="479" t="s">
        <v>1556</v>
      </c>
      <c r="S51" s="672" t="s">
        <v>1753</v>
      </c>
      <c r="T51" s="450" t="s">
        <v>2130</v>
      </c>
      <c r="U51" s="20">
        <v>11.25</v>
      </c>
      <c r="V51" s="418" t="s">
        <v>2131</v>
      </c>
      <c r="W51" s="671" t="s">
        <v>840</v>
      </c>
      <c r="X51" s="671" t="s">
        <v>841</v>
      </c>
      <c r="Y51" s="480"/>
      <c r="Z51" s="486" t="s">
        <v>2230</v>
      </c>
      <c r="AA51" s="872" t="s">
        <v>1765</v>
      </c>
      <c r="AB51" s="450" t="s">
        <v>2051</v>
      </c>
      <c r="AC51" s="20">
        <v>5</v>
      </c>
      <c r="AD51" s="418" t="s">
        <v>2072</v>
      </c>
      <c r="AE51" s="509" t="s">
        <v>840</v>
      </c>
      <c r="AF51" s="671" t="s">
        <v>841</v>
      </c>
      <c r="AH51" s="481" t="s">
        <v>1541</v>
      </c>
      <c r="AI51" s="673" t="s">
        <v>1754</v>
      </c>
      <c r="AJ51" s="42" t="s">
        <v>2146</v>
      </c>
      <c r="AK51" s="43">
        <v>11</v>
      </c>
      <c r="AL51" s="42" t="s">
        <v>2147</v>
      </c>
      <c r="AM51" s="509" t="s">
        <v>840</v>
      </c>
      <c r="AN51" s="671" t="s">
        <v>841</v>
      </c>
      <c r="AP51" s="963" t="s">
        <v>2959</v>
      </c>
      <c r="AQ51" s="673" t="s">
        <v>1883</v>
      </c>
      <c r="AR51" s="482" t="s">
        <v>2960</v>
      </c>
      <c r="AS51" s="483">
        <v>7.64</v>
      </c>
      <c r="AT51" s="482" t="s">
        <v>2961</v>
      </c>
      <c r="AU51" s="671" t="s">
        <v>840</v>
      </c>
      <c r="AV51" s="671" t="s">
        <v>841</v>
      </c>
      <c r="AX51" s="481" t="s">
        <v>1548</v>
      </c>
      <c r="AY51" s="674" t="s">
        <v>1755</v>
      </c>
      <c r="AZ51" s="42" t="s">
        <v>1728</v>
      </c>
      <c r="BA51" s="42">
        <v>11.95</v>
      </c>
      <c r="BB51" s="42" t="s">
        <v>1729</v>
      </c>
      <c r="BC51" s="671" t="s">
        <v>840</v>
      </c>
      <c r="BD51" s="671" t="s">
        <v>841</v>
      </c>
      <c r="BF51" s="315" t="s">
        <v>2998</v>
      </c>
      <c r="BG51" s="674" t="s">
        <v>1884</v>
      </c>
      <c r="BH51" s="42" t="s">
        <v>2996</v>
      </c>
      <c r="BI51" s="42">
        <v>7.78</v>
      </c>
      <c r="BJ51" s="42" t="s">
        <v>2999</v>
      </c>
      <c r="BK51" s="509" t="s">
        <v>840</v>
      </c>
      <c r="BL51" s="509" t="s">
        <v>841</v>
      </c>
    </row>
    <row r="52" spans="1:64" s="480" customFormat="1" ht="11.25" customHeight="1">
      <c r="A52" s="543"/>
      <c r="B52" s="1302" t="s">
        <v>1527</v>
      </c>
      <c r="C52" s="1070" t="s">
        <v>1752</v>
      </c>
      <c r="D52" s="1305" t="s">
        <v>2344</v>
      </c>
      <c r="E52" s="531">
        <v>10.1</v>
      </c>
      <c r="F52" s="1305" t="s">
        <v>2345</v>
      </c>
      <c r="G52" s="1304" t="s">
        <v>840</v>
      </c>
      <c r="H52" s="1304" t="s">
        <v>841</v>
      </c>
      <c r="I52" s="543"/>
      <c r="J52" s="1302" t="s">
        <v>1507</v>
      </c>
      <c r="K52" s="1309" t="s">
        <v>1753</v>
      </c>
      <c r="L52" s="1625" t="s">
        <v>1321</v>
      </c>
      <c r="M52" s="579">
        <v>11.74</v>
      </c>
      <c r="N52" s="1625" t="s">
        <v>1092</v>
      </c>
      <c r="O52" s="1304" t="s">
        <v>840</v>
      </c>
      <c r="P52" s="1304" t="s">
        <v>841</v>
      </c>
      <c r="Q52" s="605"/>
      <c r="R52" s="606" t="s">
        <v>1557</v>
      </c>
      <c r="S52" s="1309" t="s">
        <v>1753</v>
      </c>
      <c r="T52" s="576" t="s">
        <v>2132</v>
      </c>
      <c r="U52" s="580">
        <v>11.35</v>
      </c>
      <c r="V52" s="539" t="s">
        <v>2133</v>
      </c>
      <c r="W52" s="1311" t="s">
        <v>840</v>
      </c>
      <c r="X52" s="1304" t="s">
        <v>841</v>
      </c>
      <c r="Y52" s="605"/>
      <c r="Z52" s="1318" t="s">
        <v>2660</v>
      </c>
      <c r="AA52" s="1324" t="s">
        <v>1766</v>
      </c>
      <c r="AB52" s="1303" t="s">
        <v>2051</v>
      </c>
      <c r="AC52" s="579">
        <v>5</v>
      </c>
      <c r="AD52" s="1320" t="s">
        <v>2072</v>
      </c>
      <c r="AE52" s="1304" t="s">
        <v>840</v>
      </c>
      <c r="AF52" s="1304" t="s">
        <v>841</v>
      </c>
      <c r="AG52" s="605"/>
      <c r="AH52" s="1312" t="s">
        <v>1542</v>
      </c>
      <c r="AI52" s="1313" t="s">
        <v>1754</v>
      </c>
      <c r="AJ52" s="534" t="s">
        <v>2148</v>
      </c>
      <c r="AK52" s="537">
        <v>11.5</v>
      </c>
      <c r="AL52" s="534" t="s">
        <v>2149</v>
      </c>
      <c r="AM52" s="1311" t="s">
        <v>840</v>
      </c>
      <c r="AN52" s="1304" t="s">
        <v>841</v>
      </c>
      <c r="AO52" s="605"/>
      <c r="AP52" s="1308" t="s">
        <v>2995</v>
      </c>
      <c r="AQ52" s="1313" t="s">
        <v>1883</v>
      </c>
      <c r="AR52" s="530" t="s">
        <v>2996</v>
      </c>
      <c r="AS52" s="530">
        <v>7.48</v>
      </c>
      <c r="AT52" s="530" t="s">
        <v>2997</v>
      </c>
      <c r="AU52" s="1304" t="s">
        <v>840</v>
      </c>
      <c r="AV52" s="1304" t="s">
        <v>841</v>
      </c>
      <c r="AW52" s="576"/>
      <c r="AX52" s="1312" t="s">
        <v>1549</v>
      </c>
      <c r="AY52" s="1314" t="s">
        <v>1755</v>
      </c>
      <c r="AZ52" s="1332" t="s">
        <v>1774</v>
      </c>
      <c r="BA52" s="580">
        <v>11.95</v>
      </c>
      <c r="BB52" s="1332" t="s">
        <v>1787</v>
      </c>
      <c r="BC52" s="1311" t="s">
        <v>840</v>
      </c>
      <c r="BD52" s="1311" t="s">
        <v>841</v>
      </c>
      <c r="BE52" s="604" t="s">
        <v>874</v>
      </c>
      <c r="BF52" s="1312" t="s">
        <v>1500</v>
      </c>
      <c r="BG52" s="1070" t="s">
        <v>1775</v>
      </c>
      <c r="BH52" s="1390" t="s">
        <v>1732</v>
      </c>
      <c r="BI52" s="579">
        <v>5</v>
      </c>
      <c r="BJ52" s="1390" t="s">
        <v>868</v>
      </c>
      <c r="BK52" s="1304" t="s">
        <v>840</v>
      </c>
      <c r="BL52" s="1311" t="s">
        <v>869</v>
      </c>
    </row>
    <row r="53" spans="1:64" s="315" customFormat="1" ht="12.6" customHeight="1" thickBot="1">
      <c r="A53" s="1627"/>
      <c r="B53" s="471" t="s">
        <v>1528</v>
      </c>
      <c r="C53" s="675" t="s">
        <v>1752</v>
      </c>
      <c r="D53" s="677" t="s">
        <v>2355</v>
      </c>
      <c r="E53" s="483">
        <v>10.1</v>
      </c>
      <c r="F53" s="677" t="s">
        <v>2356</v>
      </c>
      <c r="G53" s="671" t="s">
        <v>840</v>
      </c>
      <c r="H53" s="671" t="s">
        <v>841</v>
      </c>
      <c r="I53" s="451"/>
      <c r="J53" s="471" t="s">
        <v>1508</v>
      </c>
      <c r="K53" s="672" t="s">
        <v>1753</v>
      </c>
      <c r="L53" s="409" t="s">
        <v>1322</v>
      </c>
      <c r="M53" s="477">
        <v>11.74</v>
      </c>
      <c r="N53" s="409" t="s">
        <v>1093</v>
      </c>
      <c r="O53" s="671" t="s">
        <v>840</v>
      </c>
      <c r="P53" s="671" t="s">
        <v>841</v>
      </c>
      <c r="R53" s="479" t="s">
        <v>1558</v>
      </c>
      <c r="S53" s="672" t="s">
        <v>1753</v>
      </c>
      <c r="T53" s="409" t="s">
        <v>2053</v>
      </c>
      <c r="U53" s="477">
        <v>11.5</v>
      </c>
      <c r="V53" s="437" t="s">
        <v>2055</v>
      </c>
      <c r="W53" s="509" t="s">
        <v>840</v>
      </c>
      <c r="X53" s="671" t="s">
        <v>841</v>
      </c>
      <c r="Y53" s="951"/>
      <c r="Z53" s="1639" t="s">
        <v>2661</v>
      </c>
      <c r="AA53" s="1640" t="s">
        <v>1759</v>
      </c>
      <c r="AB53" s="1641" t="s">
        <v>1096</v>
      </c>
      <c r="AC53" s="877">
        <v>5</v>
      </c>
      <c r="AD53" s="1642" t="s">
        <v>927</v>
      </c>
      <c r="AE53" s="1333" t="s">
        <v>840</v>
      </c>
      <c r="AF53" s="1333" t="s">
        <v>841</v>
      </c>
      <c r="AH53" s="963" t="s">
        <v>1543</v>
      </c>
      <c r="AI53" s="673" t="s">
        <v>1754</v>
      </c>
      <c r="AJ53" s="482" t="s">
        <v>2150</v>
      </c>
      <c r="AK53" s="483">
        <v>11.5</v>
      </c>
      <c r="AL53" s="482" t="s">
        <v>2151</v>
      </c>
      <c r="AM53" s="671" t="s">
        <v>840</v>
      </c>
      <c r="AN53" s="671" t="s">
        <v>841</v>
      </c>
      <c r="AO53" s="480" t="s">
        <v>1305</v>
      </c>
      <c r="AP53" s="963" t="s">
        <v>1500</v>
      </c>
      <c r="AQ53" s="673" t="s">
        <v>1755</v>
      </c>
      <c r="AR53" s="482" t="s">
        <v>1112</v>
      </c>
      <c r="AS53" s="483">
        <v>14.23</v>
      </c>
      <c r="AT53" s="482" t="s">
        <v>1116</v>
      </c>
      <c r="AU53" s="671" t="s">
        <v>840</v>
      </c>
      <c r="AV53" s="671" t="s">
        <v>841</v>
      </c>
      <c r="AW53" s="409"/>
      <c r="AX53" s="481" t="s">
        <v>1550</v>
      </c>
      <c r="AY53" s="674" t="s">
        <v>1755</v>
      </c>
      <c r="AZ53" s="1363" t="s">
        <v>1788</v>
      </c>
      <c r="BA53" s="450">
        <v>12.03</v>
      </c>
      <c r="BB53" s="490" t="s">
        <v>1789</v>
      </c>
      <c r="BC53" s="509" t="s">
        <v>840</v>
      </c>
      <c r="BD53" s="509" t="s">
        <v>841</v>
      </c>
      <c r="BE53" s="485"/>
      <c r="BF53" s="963" t="s">
        <v>1501</v>
      </c>
      <c r="BG53" s="675" t="s">
        <v>1775</v>
      </c>
      <c r="BH53" s="409" t="s">
        <v>1733</v>
      </c>
      <c r="BI53" s="477">
        <v>5</v>
      </c>
      <c r="BJ53" s="409" t="s">
        <v>870</v>
      </c>
      <c r="BK53" s="671" t="s">
        <v>840</v>
      </c>
      <c r="BL53" s="671" t="s">
        <v>869</v>
      </c>
    </row>
    <row r="54" spans="1:64" s="315" customFormat="1" ht="12.6" customHeight="1" thickBot="1">
      <c r="A54" s="644"/>
      <c r="B54" s="1628" t="s">
        <v>1529</v>
      </c>
      <c r="C54" s="1629" t="s">
        <v>1752</v>
      </c>
      <c r="D54" s="1498" t="s">
        <v>2371</v>
      </c>
      <c r="E54" s="886">
        <v>10</v>
      </c>
      <c r="F54" s="1498" t="s">
        <v>2372</v>
      </c>
      <c r="G54" s="1366" t="s">
        <v>840</v>
      </c>
      <c r="H54" s="1366" t="s">
        <v>841</v>
      </c>
      <c r="I54" s="644"/>
      <c r="J54" s="1628" t="s">
        <v>1509</v>
      </c>
      <c r="K54" s="1463" t="s">
        <v>1753</v>
      </c>
      <c r="L54" s="1633" t="s">
        <v>53</v>
      </c>
      <c r="M54" s="1634">
        <v>11.74</v>
      </c>
      <c r="N54" s="1633" t="s">
        <v>65</v>
      </c>
      <c r="O54" s="1635" t="s">
        <v>840</v>
      </c>
      <c r="P54" s="1366" t="s">
        <v>841</v>
      </c>
      <c r="Q54" s="644"/>
      <c r="R54" s="1463" t="s">
        <v>1559</v>
      </c>
      <c r="S54" s="1463" t="s">
        <v>1753</v>
      </c>
      <c r="T54" s="1517" t="s">
        <v>2054</v>
      </c>
      <c r="U54" s="648">
        <v>11.56</v>
      </c>
      <c r="V54" s="1507" t="s">
        <v>2056</v>
      </c>
      <c r="W54" s="1366" t="s">
        <v>840</v>
      </c>
      <c r="X54" s="1366" t="s">
        <v>841</v>
      </c>
      <c r="Y54" s="480"/>
      <c r="AG54" s="644"/>
      <c r="AH54" s="1516" t="s">
        <v>1544</v>
      </c>
      <c r="AI54" s="1643" t="s">
        <v>1754</v>
      </c>
      <c r="AJ54" s="1010" t="s">
        <v>2152</v>
      </c>
      <c r="AK54" s="886">
        <v>11.6</v>
      </c>
      <c r="AL54" s="1010" t="s">
        <v>2153</v>
      </c>
      <c r="AM54" s="1366" t="s">
        <v>840</v>
      </c>
      <c r="AN54" s="1366" t="s">
        <v>841</v>
      </c>
      <c r="AO54" s="1517"/>
      <c r="AP54" s="1516" t="s">
        <v>1501</v>
      </c>
      <c r="AQ54" s="1550" t="s">
        <v>1755</v>
      </c>
      <c r="AR54" s="1517" t="s">
        <v>1113</v>
      </c>
      <c r="AS54" s="648">
        <v>13.88</v>
      </c>
      <c r="AT54" s="1517" t="s">
        <v>1117</v>
      </c>
      <c r="AU54" s="1366" t="s">
        <v>840</v>
      </c>
      <c r="AV54" s="1366" t="s">
        <v>841</v>
      </c>
      <c r="AW54" s="1517"/>
      <c r="AX54" s="1644" t="s">
        <v>1551</v>
      </c>
      <c r="AY54" s="1629" t="s">
        <v>1755</v>
      </c>
      <c r="AZ54" s="1645" t="s">
        <v>1790</v>
      </c>
      <c r="BA54" s="645">
        <v>12.07</v>
      </c>
      <c r="BB54" s="1645" t="s">
        <v>1791</v>
      </c>
      <c r="BC54" s="1635" t="s">
        <v>840</v>
      </c>
      <c r="BD54" s="1635" t="s">
        <v>841</v>
      </c>
      <c r="BE54" s="644"/>
      <c r="BF54" s="1548" t="s">
        <v>1502</v>
      </c>
      <c r="BG54" s="1550" t="s">
        <v>1775</v>
      </c>
      <c r="BH54" s="1010" t="s">
        <v>1734</v>
      </c>
      <c r="BI54" s="886">
        <v>5</v>
      </c>
      <c r="BJ54" s="1010" t="s">
        <v>871</v>
      </c>
      <c r="BK54" s="1549" t="s">
        <v>840</v>
      </c>
      <c r="BL54" s="1518" t="s">
        <v>869</v>
      </c>
    </row>
    <row r="55" spans="1:64" s="315" customFormat="1" ht="14.1" customHeight="1">
      <c r="J55" s="491"/>
      <c r="O55" s="507"/>
      <c r="W55" s="507"/>
      <c r="Z55" s="332"/>
      <c r="AA55" s="332"/>
      <c r="AB55" s="42"/>
      <c r="AC55" s="42"/>
      <c r="AD55" s="42"/>
      <c r="AE55" s="332"/>
    </row>
    <row r="56" spans="1:64" s="317" customFormat="1" ht="13.5" customHeight="1">
      <c r="A56" s="2061" t="s">
        <v>32</v>
      </c>
      <c r="B56" s="2061"/>
      <c r="C56" s="920" t="s">
        <v>1850</v>
      </c>
    </row>
    <row r="57" spans="1:64" ht="14.1" customHeight="1">
      <c r="C57" s="491" t="s">
        <v>1776</v>
      </c>
      <c r="BE57" s="315"/>
      <c r="BF57" s="315"/>
      <c r="BG57" s="315"/>
      <c r="BH57" s="315"/>
      <c r="BI57" s="315"/>
      <c r="BJ57" s="315"/>
      <c r="BK57" s="315"/>
      <c r="BL57" s="315"/>
    </row>
    <row r="58" spans="1:64" ht="14.1" customHeight="1">
      <c r="BE58" s="315"/>
      <c r="BF58" s="448"/>
      <c r="BG58" s="315"/>
      <c r="BH58" s="315"/>
      <c r="BI58" s="315"/>
      <c r="BJ58" s="315"/>
      <c r="BK58" s="315"/>
      <c r="BL58" s="315"/>
    </row>
    <row r="59" spans="1:64" ht="12.6" customHeight="1">
      <c r="AW59" s="11"/>
      <c r="AX59" s="315"/>
      <c r="AY59" s="315"/>
      <c r="AZ59" s="315"/>
      <c r="BA59" s="315"/>
      <c r="BB59" s="315"/>
      <c r="BC59" s="315"/>
      <c r="BD59" s="315"/>
    </row>
    <row r="60" spans="1:64" s="315" customFormat="1" ht="12.6" customHeight="1">
      <c r="I60" s="317"/>
      <c r="J60" s="317"/>
      <c r="K60" s="420"/>
      <c r="L60" s="317"/>
      <c r="M60" s="317"/>
      <c r="N60" s="317"/>
      <c r="O60" s="420"/>
      <c r="P60" s="317"/>
      <c r="AO60" s="317"/>
      <c r="AP60" s="317"/>
      <c r="AQ60" s="317"/>
      <c r="AR60" s="317"/>
      <c r="AS60" s="317"/>
      <c r="AT60" s="317"/>
      <c r="AU60" s="317"/>
      <c r="AV60" s="317"/>
      <c r="AW60" s="11"/>
      <c r="AX60" s="11"/>
      <c r="AY60" s="11"/>
      <c r="AZ60" s="11"/>
      <c r="BA60" s="11"/>
      <c r="BB60" s="11"/>
      <c r="BC60" s="11"/>
      <c r="BD60" s="11"/>
      <c r="BE60" s="317"/>
      <c r="BF60" s="494"/>
      <c r="BG60" s="317"/>
      <c r="BH60" s="317"/>
      <c r="BI60" s="317"/>
      <c r="BJ60" s="317"/>
      <c r="BK60" s="317"/>
      <c r="BL60" s="317"/>
    </row>
    <row r="61" spans="1:64" s="11" customFormat="1" ht="12.6" customHeight="1">
      <c r="J61" s="315"/>
      <c r="AO61" s="317"/>
      <c r="AP61" s="494"/>
      <c r="AQ61" s="317"/>
      <c r="AR61" s="317"/>
      <c r="AS61" s="317"/>
      <c r="AT61" s="317"/>
      <c r="AU61" s="317"/>
      <c r="AV61" s="317"/>
      <c r="AW61" s="105"/>
      <c r="BE61" s="317"/>
      <c r="BF61" s="494"/>
      <c r="BG61" s="317"/>
      <c r="BH61" s="317"/>
      <c r="BI61" s="317"/>
      <c r="BJ61" s="317"/>
      <c r="BK61" s="317"/>
      <c r="BL61" s="317"/>
    </row>
    <row r="62" spans="1:64" s="11" customFormat="1" ht="12.6" customHeight="1">
      <c r="J62" s="315"/>
      <c r="AO62" s="317"/>
      <c r="AP62" s="494"/>
      <c r="AQ62" s="317"/>
      <c r="AR62" s="317"/>
      <c r="AS62" s="317"/>
      <c r="AT62" s="317"/>
      <c r="AU62" s="317"/>
      <c r="AV62" s="317"/>
      <c r="AW62" s="105"/>
      <c r="AX62" s="105"/>
      <c r="AY62" s="105"/>
      <c r="AZ62" s="105"/>
      <c r="BA62" s="105"/>
      <c r="BB62" s="105"/>
      <c r="BC62" s="105"/>
      <c r="BD62" s="105"/>
      <c r="BE62" s="317"/>
      <c r="BF62" s="494"/>
      <c r="BG62" s="317"/>
      <c r="BH62" s="317"/>
      <c r="BI62" s="317"/>
      <c r="BJ62" s="317"/>
      <c r="BK62" s="317"/>
      <c r="BL62" s="317"/>
    </row>
    <row r="63" spans="1:64" s="105" customFormat="1" ht="12.6" customHeight="1">
      <c r="J63" s="332"/>
      <c r="AO63" s="317"/>
      <c r="AP63" s="494"/>
      <c r="AQ63" s="317"/>
      <c r="AR63" s="317"/>
      <c r="AS63" s="317"/>
      <c r="AT63" s="317"/>
      <c r="AU63" s="317"/>
      <c r="AV63" s="317"/>
      <c r="AW63" s="317"/>
      <c r="BE63" s="317"/>
      <c r="BF63" s="494"/>
      <c r="BG63" s="317"/>
      <c r="BH63" s="317"/>
      <c r="BI63" s="317"/>
      <c r="BJ63" s="317"/>
      <c r="BK63" s="317"/>
      <c r="BL63" s="317"/>
    </row>
    <row r="64" spans="1:64" s="105" customFormat="1" ht="9.75" customHeight="1">
      <c r="I64" s="332"/>
      <c r="J64" s="491"/>
      <c r="K64" s="332"/>
      <c r="L64" s="332"/>
      <c r="M64" s="332"/>
      <c r="N64" s="332"/>
      <c r="O64" s="332"/>
      <c r="P64" s="332"/>
      <c r="AO64" s="317"/>
      <c r="AP64" s="494"/>
      <c r="AQ64" s="317"/>
      <c r="AR64" s="317"/>
      <c r="AS64" s="317"/>
      <c r="AT64" s="317"/>
      <c r="AU64" s="317"/>
      <c r="AV64" s="317"/>
      <c r="AW64" s="317"/>
      <c r="AX64" s="494"/>
      <c r="AY64" s="317"/>
      <c r="AZ64" s="317"/>
      <c r="BA64" s="317"/>
      <c r="BB64" s="317"/>
      <c r="BC64" s="317"/>
      <c r="BD64" s="317"/>
      <c r="BE64" s="315"/>
      <c r="BF64" s="315"/>
      <c r="BG64" s="315"/>
      <c r="BH64" s="315"/>
      <c r="BI64" s="315"/>
      <c r="BJ64" s="315"/>
      <c r="BK64" s="315"/>
      <c r="BL64" s="315"/>
    </row>
    <row r="65" spans="2:64" ht="12" customHeight="1">
      <c r="BE65" s="484"/>
      <c r="BF65" s="481"/>
      <c r="BG65" s="465"/>
      <c r="BH65" s="409"/>
      <c r="BI65" s="409"/>
      <c r="BJ65" s="409"/>
      <c r="BK65" s="478"/>
      <c r="BL65" s="450"/>
    </row>
    <row r="66" spans="2:64" ht="12" customHeight="1">
      <c r="BE66" s="484"/>
      <c r="BF66" s="481"/>
      <c r="BG66" s="465"/>
      <c r="BH66" s="416"/>
      <c r="BI66" s="42"/>
      <c r="BJ66" s="416"/>
      <c r="BK66" s="472"/>
      <c r="BL66" s="450"/>
    </row>
    <row r="67" spans="2:64" ht="12" customHeight="1">
      <c r="BE67" s="484"/>
      <c r="BF67" s="481"/>
      <c r="BG67" s="465"/>
      <c r="BH67" s="490"/>
      <c r="BI67" s="450"/>
      <c r="BJ67" s="490"/>
      <c r="BK67" s="472"/>
      <c r="BL67" s="450"/>
    </row>
    <row r="68" spans="2:64" ht="12" customHeight="1">
      <c r="BE68" s="484"/>
      <c r="BF68" s="481"/>
      <c r="BG68" s="465"/>
      <c r="BH68" s="490"/>
      <c r="BI68" s="20"/>
      <c r="BJ68" s="490"/>
      <c r="BK68" s="472"/>
      <c r="BL68" s="450"/>
    </row>
    <row r="69" spans="2:64" ht="12" customHeight="1">
      <c r="BE69" s="484"/>
      <c r="BF69" s="481"/>
      <c r="BG69" s="465"/>
      <c r="BH69" s="490"/>
      <c r="BI69" s="450"/>
      <c r="BJ69" s="490"/>
      <c r="BK69" s="472"/>
      <c r="BL69" s="450"/>
    </row>
    <row r="70" spans="2:64" s="317" customFormat="1" ht="12" customHeight="1">
      <c r="B70" s="493"/>
      <c r="G70" s="493"/>
      <c r="J70" s="492"/>
      <c r="O70" s="493"/>
      <c r="R70" s="492"/>
      <c r="W70" s="493"/>
      <c r="Z70" s="494"/>
      <c r="AH70" s="494"/>
      <c r="AP70" s="494"/>
      <c r="AX70" s="494"/>
      <c r="BE70" s="450"/>
      <c r="BF70" s="481"/>
      <c r="BG70" s="465"/>
      <c r="BH70" s="416"/>
      <c r="BI70" s="42"/>
      <c r="BJ70" s="416"/>
      <c r="BK70" s="472"/>
      <c r="BL70" s="450"/>
    </row>
    <row r="71" spans="2:64" s="317" customFormat="1" ht="12" customHeight="1">
      <c r="B71" s="493"/>
      <c r="G71" s="493"/>
      <c r="J71" s="492"/>
      <c r="O71" s="493"/>
      <c r="R71" s="492"/>
      <c r="W71" s="493"/>
      <c r="Z71" s="494"/>
      <c r="AH71" s="494"/>
      <c r="AP71" s="494"/>
      <c r="AX71" s="494"/>
      <c r="BE71" s="450"/>
      <c r="BF71" s="481"/>
      <c r="BG71" s="465"/>
      <c r="BH71" s="416"/>
      <c r="BI71" s="43"/>
      <c r="BJ71" s="416"/>
      <c r="BK71" s="472"/>
      <c r="BL71" s="450"/>
    </row>
    <row r="72" spans="2:64" s="317" customFormat="1" ht="12" customHeight="1">
      <c r="B72" s="493"/>
      <c r="G72" s="493"/>
      <c r="J72" s="492"/>
      <c r="O72" s="493"/>
      <c r="R72" s="492"/>
      <c r="W72" s="493"/>
      <c r="Z72" s="494"/>
      <c r="AH72" s="494"/>
      <c r="AP72" s="494"/>
      <c r="AX72" s="494"/>
      <c r="BE72" s="450"/>
      <c r="BF72" s="481"/>
      <c r="BG72" s="465"/>
      <c r="BH72" s="416"/>
      <c r="BI72" s="43"/>
      <c r="BJ72" s="416"/>
      <c r="BK72" s="472"/>
      <c r="BL72" s="450"/>
    </row>
    <row r="73" spans="2:64" s="317" customFormat="1" ht="12" customHeight="1">
      <c r="B73" s="493"/>
      <c r="G73" s="493"/>
      <c r="J73" s="492"/>
      <c r="O73" s="493"/>
      <c r="R73" s="492"/>
      <c r="W73" s="493"/>
      <c r="Z73" s="494"/>
      <c r="AH73" s="494"/>
      <c r="AP73" s="494"/>
      <c r="AX73" s="494"/>
      <c r="BE73" s="450"/>
      <c r="BF73" s="481"/>
      <c r="BG73" s="465"/>
      <c r="BH73" s="416"/>
      <c r="BI73" s="43"/>
      <c r="BJ73" s="416"/>
      <c r="BK73" s="472"/>
      <c r="BL73" s="450"/>
    </row>
    <row r="74" spans="2:64" s="317" customFormat="1" ht="12" customHeight="1">
      <c r="B74" s="493"/>
      <c r="G74" s="493"/>
      <c r="J74" s="492"/>
      <c r="O74" s="493"/>
      <c r="R74" s="492"/>
      <c r="W74" s="493"/>
      <c r="Z74" s="494"/>
      <c r="AH74" s="494"/>
      <c r="AP74" s="494"/>
      <c r="BE74" s="450"/>
      <c r="BF74" s="481"/>
      <c r="BG74" s="465"/>
      <c r="BH74" s="416"/>
      <c r="BI74" s="43"/>
      <c r="BJ74" s="416"/>
      <c r="BK74" s="472"/>
      <c r="BL74" s="450"/>
    </row>
    <row r="75" spans="2:64" s="317" customFormat="1" ht="12" customHeight="1">
      <c r="B75" s="493"/>
      <c r="G75" s="493"/>
      <c r="J75" s="492"/>
      <c r="O75" s="493"/>
      <c r="R75" s="492"/>
      <c r="W75" s="493"/>
      <c r="Z75" s="494"/>
      <c r="AH75" s="494"/>
      <c r="AX75" s="494"/>
      <c r="BE75" s="450"/>
      <c r="BF75" s="481"/>
      <c r="BG75" s="465"/>
      <c r="BH75" s="416"/>
      <c r="BI75" s="43"/>
      <c r="BJ75" s="416"/>
      <c r="BK75" s="472"/>
      <c r="BL75" s="450"/>
    </row>
    <row r="76" spans="2:64" s="317" customFormat="1" ht="12" customHeight="1">
      <c r="B76" s="493"/>
      <c r="G76" s="493"/>
      <c r="J76" s="492"/>
      <c r="O76" s="493"/>
      <c r="R76" s="492"/>
      <c r="W76" s="493"/>
      <c r="Z76" s="494"/>
      <c r="AH76" s="494"/>
      <c r="AP76" s="494"/>
      <c r="AX76" s="494"/>
      <c r="BF76" s="481"/>
      <c r="BG76" s="465"/>
      <c r="BH76" s="416"/>
      <c r="BI76" s="43"/>
      <c r="BJ76" s="416"/>
      <c r="BK76" s="472"/>
      <c r="BL76" s="450"/>
    </row>
    <row r="77" spans="2:64" s="317" customFormat="1" ht="12" customHeight="1">
      <c r="B77" s="493"/>
      <c r="G77" s="493"/>
      <c r="J77" s="492"/>
      <c r="O77" s="493"/>
      <c r="R77" s="492"/>
      <c r="W77" s="493"/>
      <c r="Z77" s="494"/>
      <c r="AH77" s="494"/>
      <c r="AP77" s="494"/>
      <c r="AX77" s="494"/>
      <c r="BF77" s="481"/>
      <c r="BG77" s="465"/>
      <c r="BH77" s="416"/>
      <c r="BI77" s="43"/>
      <c r="BJ77" s="416"/>
      <c r="BK77" s="472"/>
      <c r="BL77" s="450"/>
    </row>
    <row r="78" spans="2:64" s="317" customFormat="1" ht="12" customHeight="1">
      <c r="B78" s="493"/>
      <c r="G78" s="493"/>
      <c r="J78" s="492"/>
      <c r="O78" s="493"/>
      <c r="R78" s="492"/>
      <c r="W78" s="493"/>
      <c r="Z78" s="494"/>
      <c r="AH78" s="494"/>
      <c r="AP78" s="494"/>
      <c r="AW78" s="476"/>
      <c r="AX78" s="494"/>
      <c r="BF78" s="481"/>
      <c r="BG78" s="465"/>
      <c r="BH78" s="416"/>
      <c r="BI78" s="43"/>
      <c r="BJ78" s="416"/>
      <c r="BK78" s="472"/>
      <c r="BL78" s="450"/>
    </row>
    <row r="79" spans="2:64" ht="12" customHeight="1">
      <c r="AW79" s="476"/>
      <c r="AY79" s="476"/>
      <c r="AZ79" s="476"/>
      <c r="BA79" s="476"/>
      <c r="BB79" s="476"/>
      <c r="BC79" s="476"/>
      <c r="BD79" s="476"/>
      <c r="BF79" s="481"/>
      <c r="BG79" s="465"/>
      <c r="BH79" s="416"/>
      <c r="BI79" s="43"/>
      <c r="BJ79" s="416"/>
      <c r="BK79" s="472"/>
      <c r="BL79" s="450"/>
    </row>
    <row r="80" spans="2:64" s="159" customFormat="1" ht="12" customHeight="1">
      <c r="I80" s="476"/>
      <c r="J80" s="494"/>
      <c r="K80" s="476"/>
      <c r="L80" s="476"/>
      <c r="M80" s="476"/>
      <c r="N80" s="476"/>
      <c r="O80" s="476"/>
      <c r="P80" s="476"/>
      <c r="Q80" s="476"/>
      <c r="R80" s="494"/>
      <c r="S80" s="476"/>
      <c r="T80" s="476"/>
      <c r="U80" s="476"/>
      <c r="V80" s="476"/>
      <c r="W80" s="476"/>
      <c r="X80" s="476"/>
      <c r="AO80" s="476"/>
      <c r="AP80" s="494"/>
      <c r="AQ80" s="476"/>
      <c r="AR80" s="476"/>
      <c r="AS80" s="476"/>
      <c r="AT80" s="476"/>
      <c r="AU80" s="476"/>
      <c r="AV80" s="476"/>
      <c r="AW80" s="476"/>
      <c r="AX80" s="494"/>
      <c r="AY80" s="476"/>
      <c r="AZ80" s="476"/>
      <c r="BA80" s="476"/>
      <c r="BB80" s="476"/>
      <c r="BC80" s="476"/>
      <c r="BD80" s="476"/>
      <c r="BE80" s="317"/>
      <c r="BF80" s="494"/>
      <c r="BG80" s="317"/>
      <c r="BH80" s="317"/>
      <c r="BI80" s="317"/>
      <c r="BJ80" s="317"/>
      <c r="BK80" s="317"/>
      <c r="BL80" s="317"/>
    </row>
    <row r="81" spans="9:64" s="159" customFormat="1" ht="12" customHeight="1">
      <c r="I81" s="476"/>
      <c r="J81" s="494"/>
      <c r="K81" s="476"/>
      <c r="L81" s="476"/>
      <c r="M81" s="476"/>
      <c r="N81" s="476"/>
      <c r="O81" s="476"/>
      <c r="P81" s="476"/>
      <c r="Q81" s="476"/>
      <c r="R81" s="494"/>
      <c r="S81" s="476"/>
      <c r="T81" s="476"/>
      <c r="U81" s="476"/>
      <c r="V81" s="476"/>
      <c r="W81" s="476"/>
      <c r="X81" s="476"/>
      <c r="Y81" s="476"/>
      <c r="Z81" s="494"/>
      <c r="AA81" s="476"/>
      <c r="AB81" s="476"/>
      <c r="AC81" s="476"/>
      <c r="AD81" s="476"/>
      <c r="AE81" s="476"/>
      <c r="AF81" s="476"/>
      <c r="AO81" s="476"/>
      <c r="AP81" s="494"/>
      <c r="AQ81" s="476"/>
      <c r="AR81" s="476"/>
      <c r="AS81" s="476"/>
      <c r="AT81" s="476"/>
      <c r="AU81" s="476"/>
      <c r="AV81" s="476"/>
      <c r="AW81" s="476"/>
      <c r="AX81" s="494"/>
      <c r="AY81" s="476"/>
      <c r="AZ81" s="476"/>
      <c r="BA81" s="476"/>
      <c r="BB81" s="476"/>
      <c r="BC81" s="476"/>
      <c r="BD81" s="476"/>
      <c r="BE81" s="317"/>
      <c r="BF81" s="494"/>
      <c r="BG81" s="317"/>
      <c r="BH81" s="317"/>
      <c r="BI81" s="317"/>
      <c r="BJ81" s="317"/>
      <c r="BK81" s="317"/>
      <c r="BL81" s="317"/>
    </row>
    <row r="82" spans="9:64" s="159" customFormat="1" ht="12" customHeight="1">
      <c r="I82" s="476"/>
      <c r="J82" s="494"/>
      <c r="K82" s="476"/>
      <c r="L82" s="476"/>
      <c r="M82" s="476"/>
      <c r="N82" s="476"/>
      <c r="O82" s="476"/>
      <c r="P82" s="476"/>
      <c r="Q82" s="476"/>
      <c r="R82" s="494"/>
      <c r="S82" s="476"/>
      <c r="T82" s="476"/>
      <c r="U82" s="476"/>
      <c r="V82" s="476"/>
      <c r="W82" s="476"/>
      <c r="X82" s="476"/>
      <c r="Y82" s="476"/>
      <c r="Z82" s="494"/>
      <c r="AA82" s="476"/>
      <c r="AB82" s="476"/>
      <c r="AC82" s="476"/>
      <c r="AD82" s="476"/>
      <c r="AE82" s="476"/>
      <c r="AF82" s="476"/>
      <c r="AO82" s="476"/>
      <c r="AP82" s="494"/>
      <c r="AQ82" s="476"/>
      <c r="AR82" s="476"/>
      <c r="AS82" s="476"/>
      <c r="AT82" s="476"/>
      <c r="AU82" s="476"/>
      <c r="AV82" s="476"/>
      <c r="AW82" s="476"/>
      <c r="AX82" s="494"/>
      <c r="AY82" s="476"/>
      <c r="AZ82" s="476"/>
      <c r="BA82" s="476"/>
      <c r="BB82" s="476"/>
      <c r="BC82" s="476"/>
      <c r="BD82" s="476"/>
      <c r="BE82" s="317"/>
      <c r="BF82" s="494"/>
      <c r="BG82" s="317"/>
      <c r="BH82" s="317"/>
      <c r="BI82" s="317"/>
      <c r="BJ82" s="317"/>
      <c r="BK82" s="317"/>
      <c r="BL82" s="317"/>
    </row>
    <row r="83" spans="9:64" s="159" customFormat="1" ht="12" customHeight="1">
      <c r="I83" s="476"/>
      <c r="J83" s="494"/>
      <c r="K83" s="476"/>
      <c r="L83" s="476"/>
      <c r="M83" s="476"/>
      <c r="N83" s="476"/>
      <c r="O83" s="476"/>
      <c r="P83" s="476"/>
      <c r="Q83" s="476"/>
      <c r="R83" s="494"/>
      <c r="S83" s="476"/>
      <c r="T83" s="476"/>
      <c r="U83" s="476"/>
      <c r="V83" s="476"/>
      <c r="W83" s="476"/>
      <c r="X83" s="476"/>
      <c r="Y83" s="476"/>
      <c r="Z83" s="494"/>
      <c r="AA83" s="476"/>
      <c r="AB83" s="476"/>
      <c r="AC83" s="476"/>
      <c r="AD83" s="476"/>
      <c r="AE83" s="476"/>
      <c r="AF83" s="476"/>
      <c r="AG83" s="476"/>
      <c r="AH83" s="494"/>
      <c r="AI83" s="476"/>
      <c r="AJ83" s="476"/>
      <c r="AK83" s="476"/>
      <c r="AL83" s="476"/>
      <c r="AM83" s="476"/>
      <c r="AN83" s="476"/>
      <c r="AO83" s="450"/>
      <c r="AP83" s="494"/>
      <c r="AQ83" s="476"/>
      <c r="AR83" s="476"/>
      <c r="AS83" s="476"/>
      <c r="AT83" s="476"/>
      <c r="AU83" s="495"/>
      <c r="AV83" s="476"/>
      <c r="AW83" s="476"/>
      <c r="AX83" s="494"/>
      <c r="AY83" s="476"/>
      <c r="AZ83" s="476"/>
      <c r="BA83" s="476"/>
      <c r="BB83" s="476"/>
      <c r="BC83" s="476"/>
      <c r="BD83" s="476"/>
      <c r="BE83" s="317"/>
      <c r="BF83" s="494"/>
      <c r="BG83" s="317"/>
      <c r="BH83" s="317"/>
      <c r="BI83" s="317"/>
      <c r="BJ83" s="317"/>
      <c r="BK83" s="317"/>
      <c r="BL83" s="317"/>
    </row>
    <row r="84" spans="9:64" s="159" customFormat="1" ht="12" customHeight="1">
      <c r="I84" s="476"/>
      <c r="J84" s="494"/>
      <c r="K84" s="476"/>
      <c r="L84" s="476"/>
      <c r="M84" s="476"/>
      <c r="N84" s="476"/>
      <c r="O84" s="476"/>
      <c r="P84" s="476"/>
      <c r="Q84" s="476"/>
      <c r="R84" s="494"/>
      <c r="S84" s="476"/>
      <c r="T84" s="476"/>
      <c r="U84" s="476"/>
      <c r="V84" s="476"/>
      <c r="W84" s="476"/>
      <c r="X84" s="476"/>
      <c r="Y84" s="476"/>
      <c r="Z84" s="494"/>
      <c r="AA84" s="476"/>
      <c r="AB84" s="476"/>
      <c r="AC84" s="476"/>
      <c r="AD84" s="476"/>
      <c r="AE84" s="476"/>
      <c r="AF84" s="476"/>
      <c r="AO84" s="450"/>
      <c r="AP84" s="494"/>
      <c r="AQ84" s="476"/>
      <c r="AR84" s="476"/>
      <c r="AS84" s="476"/>
      <c r="AT84" s="476"/>
      <c r="AU84" s="495"/>
      <c r="AV84" s="476"/>
      <c r="AW84" s="476"/>
      <c r="AX84" s="494"/>
      <c r="AY84" s="476"/>
      <c r="AZ84" s="476"/>
      <c r="BA84" s="476"/>
      <c r="BB84" s="476"/>
      <c r="BC84" s="476"/>
      <c r="BD84" s="476"/>
      <c r="BE84" s="476"/>
      <c r="BF84" s="494"/>
      <c r="BG84" s="476"/>
      <c r="BH84" s="476"/>
      <c r="BI84" s="476"/>
      <c r="BJ84" s="476"/>
      <c r="BK84" s="476"/>
      <c r="BL84" s="476"/>
    </row>
    <row r="85" spans="9:64" s="159" customFormat="1" ht="12" customHeight="1">
      <c r="I85" s="476"/>
      <c r="J85" s="494"/>
      <c r="K85" s="476"/>
      <c r="L85" s="476"/>
      <c r="M85" s="476"/>
      <c r="N85" s="476"/>
      <c r="O85" s="476"/>
      <c r="P85" s="476"/>
      <c r="Q85" s="476"/>
      <c r="R85" s="494"/>
      <c r="S85" s="476"/>
      <c r="T85" s="476"/>
      <c r="U85" s="476"/>
      <c r="V85" s="476"/>
      <c r="W85" s="476"/>
      <c r="X85" s="476"/>
      <c r="Y85" s="476"/>
      <c r="Z85" s="494"/>
      <c r="AA85" s="476"/>
      <c r="AB85" s="476"/>
      <c r="AC85" s="476"/>
      <c r="AD85" s="476"/>
      <c r="AE85" s="476"/>
      <c r="AF85" s="476"/>
      <c r="AO85" s="450"/>
      <c r="AP85" s="494"/>
      <c r="AQ85" s="476"/>
      <c r="AR85" s="476"/>
      <c r="AS85" s="476"/>
      <c r="AT85" s="476"/>
      <c r="AU85" s="495"/>
      <c r="AV85" s="476"/>
      <c r="AW85" s="476"/>
      <c r="AX85" s="494"/>
      <c r="AY85" s="476"/>
      <c r="AZ85" s="476"/>
      <c r="BA85" s="476"/>
      <c r="BB85" s="476"/>
      <c r="BC85" s="476"/>
      <c r="BD85" s="476"/>
      <c r="BE85" s="476"/>
      <c r="BF85" s="494"/>
      <c r="BG85" s="476"/>
      <c r="BH85" s="476"/>
      <c r="BI85" s="476"/>
      <c r="BJ85" s="476"/>
      <c r="BK85" s="476"/>
      <c r="BL85" s="476"/>
    </row>
    <row r="86" spans="9:64" s="159" customFormat="1" ht="12" customHeight="1">
      <c r="I86" s="476"/>
      <c r="J86" s="494"/>
      <c r="K86" s="476"/>
      <c r="L86" s="476"/>
      <c r="M86" s="476"/>
      <c r="N86" s="476"/>
      <c r="O86" s="476"/>
      <c r="P86" s="476"/>
      <c r="Q86" s="476"/>
      <c r="R86" s="494"/>
      <c r="S86" s="476"/>
      <c r="T86" s="476"/>
      <c r="U86" s="476"/>
      <c r="V86" s="476"/>
      <c r="W86" s="476"/>
      <c r="X86" s="476"/>
      <c r="Y86" s="476"/>
      <c r="Z86" s="494"/>
      <c r="AA86" s="476"/>
      <c r="AB86" s="476"/>
      <c r="AC86" s="476"/>
      <c r="AD86" s="476"/>
      <c r="AE86" s="476"/>
      <c r="AF86" s="476"/>
      <c r="AO86" s="476"/>
      <c r="AP86" s="494"/>
      <c r="AQ86" s="476"/>
      <c r="AR86" s="476"/>
      <c r="AS86" s="476"/>
      <c r="AT86" s="476"/>
      <c r="AU86" s="476"/>
      <c r="AV86" s="476"/>
      <c r="AW86" s="476"/>
      <c r="AX86" s="494"/>
      <c r="AY86" s="476"/>
      <c r="AZ86" s="476"/>
      <c r="BA86" s="476"/>
      <c r="BB86" s="476"/>
      <c r="BC86" s="476"/>
      <c r="BD86" s="476"/>
      <c r="BE86" s="476"/>
      <c r="BF86" s="494"/>
      <c r="BG86" s="476"/>
      <c r="BH86" s="476"/>
      <c r="BI86" s="476"/>
      <c r="BJ86" s="476"/>
      <c r="BK86" s="476"/>
      <c r="BL86" s="476"/>
    </row>
    <row r="87" spans="9:64" s="159" customFormat="1" ht="12" customHeight="1">
      <c r="I87" s="476"/>
      <c r="J87" s="494"/>
      <c r="K87" s="476"/>
      <c r="L87" s="476"/>
      <c r="M87" s="476"/>
      <c r="N87" s="476"/>
      <c r="O87" s="476"/>
      <c r="P87" s="476"/>
      <c r="Q87" s="476"/>
      <c r="R87" s="494"/>
      <c r="S87" s="476"/>
      <c r="T87" s="476"/>
      <c r="U87" s="476"/>
      <c r="V87" s="476"/>
      <c r="W87" s="476"/>
      <c r="X87" s="476"/>
      <c r="Y87" s="476"/>
      <c r="Z87" s="494"/>
      <c r="AA87" s="476"/>
      <c r="AB87" s="476"/>
      <c r="AC87" s="476"/>
      <c r="AD87" s="476"/>
      <c r="AE87" s="476"/>
      <c r="AF87" s="476"/>
      <c r="AO87" s="476"/>
      <c r="AP87" s="494"/>
      <c r="AQ87" s="476"/>
      <c r="AR87" s="476"/>
      <c r="AS87" s="476"/>
      <c r="AT87" s="476"/>
      <c r="AU87" s="476"/>
      <c r="AV87" s="476"/>
      <c r="AW87" s="476"/>
      <c r="AX87" s="494"/>
      <c r="AY87" s="476"/>
      <c r="AZ87" s="476"/>
      <c r="BA87" s="476"/>
      <c r="BB87" s="476"/>
      <c r="BC87" s="476"/>
      <c r="BD87" s="476"/>
      <c r="BE87" s="450"/>
      <c r="BF87" s="494"/>
      <c r="BG87" s="476"/>
      <c r="BH87" s="476"/>
      <c r="BI87" s="476"/>
      <c r="BJ87" s="476"/>
      <c r="BK87" s="495"/>
      <c r="BL87" s="476"/>
    </row>
    <row r="88" spans="9:64" s="159" customFormat="1" ht="12" customHeight="1">
      <c r="I88" s="476"/>
      <c r="J88" s="494"/>
      <c r="K88" s="476"/>
      <c r="L88" s="476"/>
      <c r="M88" s="476"/>
      <c r="N88" s="476"/>
      <c r="O88" s="476"/>
      <c r="P88" s="476"/>
      <c r="Q88" s="476"/>
      <c r="R88" s="494"/>
      <c r="S88" s="476"/>
      <c r="T88" s="476"/>
      <c r="U88" s="476"/>
      <c r="V88" s="476"/>
      <c r="W88" s="476"/>
      <c r="X88" s="476"/>
      <c r="Y88" s="476"/>
      <c r="Z88" s="494"/>
      <c r="AA88" s="476"/>
      <c r="AB88" s="476"/>
      <c r="AC88" s="476"/>
      <c r="AD88" s="476"/>
      <c r="AE88" s="476"/>
      <c r="AF88" s="476"/>
      <c r="AO88" s="476"/>
      <c r="AP88" s="494"/>
      <c r="AQ88" s="476"/>
      <c r="AR88" s="476"/>
      <c r="AS88" s="476"/>
      <c r="AT88" s="476"/>
      <c r="AU88" s="476"/>
      <c r="AV88" s="476"/>
      <c r="AW88" s="476"/>
      <c r="AX88" s="494"/>
      <c r="AY88" s="476"/>
      <c r="AZ88" s="476"/>
      <c r="BA88" s="476"/>
      <c r="BB88" s="476"/>
      <c r="BC88" s="476"/>
      <c r="BD88" s="476"/>
      <c r="BE88" s="450"/>
      <c r="BF88" s="494"/>
      <c r="BG88" s="476"/>
      <c r="BH88" s="476"/>
      <c r="BI88" s="476"/>
      <c r="BJ88" s="476"/>
      <c r="BK88" s="495"/>
      <c r="BL88" s="476"/>
    </row>
    <row r="89" spans="9:64" s="159" customFormat="1" ht="12" customHeight="1">
      <c r="I89" s="476"/>
      <c r="J89" s="494"/>
      <c r="K89" s="476"/>
      <c r="L89" s="476"/>
      <c r="M89" s="476"/>
      <c r="N89" s="476"/>
      <c r="O89" s="476"/>
      <c r="P89" s="476"/>
      <c r="Q89" s="476"/>
      <c r="R89" s="494"/>
      <c r="S89" s="476"/>
      <c r="T89" s="476"/>
      <c r="U89" s="476"/>
      <c r="V89" s="476"/>
      <c r="W89" s="476"/>
      <c r="X89" s="476"/>
      <c r="Y89" s="476"/>
      <c r="Z89" s="494"/>
      <c r="AA89" s="476"/>
      <c r="AB89" s="476"/>
      <c r="AC89" s="476"/>
      <c r="AD89" s="476"/>
      <c r="AE89" s="476"/>
      <c r="AF89" s="476"/>
      <c r="AO89" s="476"/>
      <c r="AP89" s="494"/>
      <c r="AQ89" s="476"/>
      <c r="AR89" s="476"/>
      <c r="AS89" s="476"/>
      <c r="AT89" s="476"/>
      <c r="AU89" s="476"/>
      <c r="AV89" s="476"/>
      <c r="AW89" s="476"/>
      <c r="AX89" s="494"/>
      <c r="AY89" s="476"/>
      <c r="AZ89" s="476"/>
      <c r="BA89" s="476"/>
      <c r="BB89" s="476"/>
      <c r="BC89" s="476"/>
      <c r="BD89" s="476"/>
      <c r="BE89" s="450"/>
      <c r="BF89" s="494"/>
      <c r="BG89" s="476"/>
      <c r="BH89" s="476"/>
      <c r="BI89" s="476"/>
      <c r="BJ89" s="476"/>
      <c r="BK89" s="495"/>
      <c r="BL89" s="476"/>
    </row>
    <row r="90" spans="9:64" s="159" customFormat="1" ht="12" customHeight="1">
      <c r="I90" s="476"/>
      <c r="J90" s="494"/>
      <c r="K90" s="476"/>
      <c r="L90" s="476"/>
      <c r="M90" s="476"/>
      <c r="N90" s="476"/>
      <c r="O90" s="476"/>
      <c r="P90" s="476"/>
      <c r="Q90" s="476"/>
      <c r="R90" s="494"/>
      <c r="S90" s="476"/>
      <c r="T90" s="476"/>
      <c r="U90" s="476"/>
      <c r="V90" s="476"/>
      <c r="W90" s="476"/>
      <c r="X90" s="476"/>
      <c r="Y90" s="476"/>
      <c r="Z90" s="494"/>
      <c r="AA90" s="476"/>
      <c r="AB90" s="476"/>
      <c r="AC90" s="476"/>
      <c r="AD90" s="476"/>
      <c r="AE90" s="476"/>
      <c r="AF90" s="476"/>
      <c r="AO90" s="476"/>
      <c r="AP90" s="494"/>
      <c r="AQ90" s="476"/>
      <c r="AR90" s="476"/>
      <c r="AS90" s="476"/>
      <c r="AT90" s="476"/>
      <c r="AU90" s="476"/>
      <c r="AV90" s="476"/>
      <c r="AW90" s="476"/>
      <c r="AX90" s="494"/>
      <c r="AY90" s="476"/>
      <c r="AZ90" s="476"/>
      <c r="BA90" s="476"/>
      <c r="BB90" s="476"/>
      <c r="BC90" s="476"/>
      <c r="BD90" s="476"/>
      <c r="BE90" s="476"/>
      <c r="BF90" s="494"/>
      <c r="BG90" s="476"/>
      <c r="BH90" s="476"/>
      <c r="BI90" s="476"/>
      <c r="BJ90" s="476"/>
      <c r="BK90" s="476"/>
      <c r="BL90" s="476"/>
    </row>
    <row r="91" spans="9:64" s="159" customFormat="1" ht="12" customHeight="1">
      <c r="I91" s="476"/>
      <c r="J91" s="494"/>
      <c r="K91" s="476"/>
      <c r="L91" s="476"/>
      <c r="M91" s="476"/>
      <c r="N91" s="476"/>
      <c r="O91" s="476"/>
      <c r="P91" s="476"/>
      <c r="Q91" s="476"/>
      <c r="R91" s="494"/>
      <c r="S91" s="476"/>
      <c r="T91" s="476"/>
      <c r="U91" s="476"/>
      <c r="V91" s="476"/>
      <c r="W91" s="476"/>
      <c r="X91" s="476"/>
      <c r="Y91" s="476"/>
      <c r="Z91" s="494"/>
      <c r="AA91" s="476"/>
      <c r="AB91" s="476"/>
      <c r="AC91" s="476"/>
      <c r="AD91" s="476"/>
      <c r="AE91" s="476"/>
      <c r="AF91" s="476"/>
      <c r="AO91" s="476"/>
      <c r="AP91" s="494"/>
      <c r="AQ91" s="476"/>
      <c r="AR91" s="476"/>
      <c r="AS91" s="476"/>
      <c r="AT91" s="476"/>
      <c r="AU91" s="476"/>
      <c r="AV91" s="476"/>
      <c r="AW91" s="476"/>
      <c r="AX91" s="494"/>
      <c r="AY91" s="476"/>
      <c r="AZ91" s="476"/>
      <c r="BA91" s="476"/>
      <c r="BB91" s="476"/>
      <c r="BC91" s="476"/>
      <c r="BD91" s="476"/>
      <c r="BE91" s="476"/>
      <c r="BF91" s="494"/>
      <c r="BG91" s="476"/>
      <c r="BH91" s="476"/>
      <c r="BI91" s="476"/>
      <c r="BJ91" s="476"/>
      <c r="BK91" s="476"/>
      <c r="BL91" s="476"/>
    </row>
    <row r="92" spans="9:64" s="159" customFormat="1" ht="12" customHeight="1">
      <c r="I92" s="476"/>
      <c r="J92" s="494"/>
      <c r="K92" s="476"/>
      <c r="L92" s="476"/>
      <c r="M92" s="476"/>
      <c r="N92" s="476"/>
      <c r="O92" s="476"/>
      <c r="P92" s="476"/>
      <c r="Q92" s="476"/>
      <c r="R92" s="494"/>
      <c r="S92" s="476"/>
      <c r="T92" s="476"/>
      <c r="U92" s="476"/>
      <c r="V92" s="476"/>
      <c r="W92" s="476"/>
      <c r="X92" s="476"/>
      <c r="Y92" s="476"/>
      <c r="Z92" s="494"/>
      <c r="AA92" s="476"/>
      <c r="AB92" s="476"/>
      <c r="AC92" s="476"/>
      <c r="AD92" s="476"/>
      <c r="AE92" s="476"/>
      <c r="AF92" s="476"/>
      <c r="AG92" s="476"/>
      <c r="AH92" s="494"/>
      <c r="AI92" s="476"/>
      <c r="AJ92" s="476"/>
      <c r="AK92" s="476"/>
      <c r="AL92" s="476"/>
      <c r="AM92" s="476"/>
      <c r="AN92" s="476"/>
      <c r="AO92" s="476"/>
      <c r="AP92" s="494"/>
      <c r="AQ92" s="476"/>
      <c r="AR92" s="476"/>
      <c r="AS92" s="476"/>
      <c r="AT92" s="476"/>
      <c r="AU92" s="476"/>
      <c r="AV92" s="476"/>
      <c r="AW92" s="476"/>
      <c r="AX92" s="494"/>
      <c r="AY92" s="476"/>
      <c r="AZ92" s="476"/>
      <c r="BA92" s="476"/>
      <c r="BB92" s="476"/>
      <c r="BC92" s="476"/>
      <c r="BD92" s="476"/>
      <c r="BE92" s="476"/>
      <c r="BF92" s="494"/>
      <c r="BG92" s="476"/>
      <c r="BH92" s="476"/>
      <c r="BI92" s="476"/>
      <c r="BJ92" s="476"/>
      <c r="BK92" s="476"/>
      <c r="BL92" s="476"/>
    </row>
    <row r="93" spans="9:64" s="159" customFormat="1" ht="12" customHeight="1">
      <c r="I93" s="476"/>
      <c r="J93" s="494"/>
      <c r="K93" s="476"/>
      <c r="L93" s="476"/>
      <c r="M93" s="476"/>
      <c r="N93" s="476"/>
      <c r="O93" s="476"/>
      <c r="P93" s="476"/>
      <c r="Q93" s="476"/>
      <c r="R93" s="494"/>
      <c r="S93" s="476"/>
      <c r="T93" s="476"/>
      <c r="U93" s="476"/>
      <c r="V93" s="476"/>
      <c r="W93" s="476"/>
      <c r="X93" s="476"/>
      <c r="Y93" s="476"/>
      <c r="Z93" s="494"/>
      <c r="AA93" s="476"/>
      <c r="AB93" s="476"/>
      <c r="AC93" s="476"/>
      <c r="AD93" s="476"/>
      <c r="AE93" s="476"/>
      <c r="AF93" s="476"/>
      <c r="AG93" s="476"/>
      <c r="AH93" s="494"/>
      <c r="AI93" s="476"/>
      <c r="AJ93" s="476"/>
      <c r="AK93" s="476"/>
      <c r="AL93" s="476"/>
      <c r="AM93" s="476"/>
      <c r="AN93" s="476"/>
      <c r="AO93" s="476"/>
      <c r="AP93" s="494"/>
      <c r="AQ93" s="476"/>
      <c r="AR93" s="476"/>
      <c r="AS93" s="476"/>
      <c r="AT93" s="476"/>
      <c r="AU93" s="476"/>
      <c r="AV93" s="476"/>
      <c r="AW93" s="476"/>
      <c r="AX93" s="494"/>
      <c r="AY93" s="476"/>
      <c r="AZ93" s="476"/>
      <c r="BA93" s="476"/>
      <c r="BB93" s="476"/>
      <c r="BC93" s="476"/>
      <c r="BD93" s="476"/>
      <c r="BE93" s="476"/>
      <c r="BF93" s="494"/>
      <c r="BG93" s="476"/>
      <c r="BH93" s="476"/>
      <c r="BI93" s="476"/>
      <c r="BJ93" s="476"/>
      <c r="BK93" s="476"/>
      <c r="BL93" s="476"/>
    </row>
    <row r="94" spans="9:64" s="159" customFormat="1" ht="12" customHeight="1">
      <c r="I94" s="476"/>
      <c r="J94" s="494"/>
      <c r="K94" s="476"/>
      <c r="L94" s="476"/>
      <c r="M94" s="476"/>
      <c r="N94" s="476"/>
      <c r="O94" s="476"/>
      <c r="P94" s="476"/>
      <c r="Q94" s="476"/>
      <c r="R94" s="494"/>
      <c r="S94" s="476"/>
      <c r="T94" s="476"/>
      <c r="U94" s="476"/>
      <c r="V94" s="476"/>
      <c r="W94" s="476"/>
      <c r="X94" s="476"/>
      <c r="Y94" s="476"/>
      <c r="Z94" s="494"/>
      <c r="AA94" s="476"/>
      <c r="AB94" s="476"/>
      <c r="AC94" s="476"/>
      <c r="AD94" s="476"/>
      <c r="AE94" s="476"/>
      <c r="AF94" s="476"/>
      <c r="AG94" s="476"/>
      <c r="AH94" s="494"/>
      <c r="AI94" s="476"/>
      <c r="AJ94" s="476"/>
      <c r="AK94" s="476"/>
      <c r="AL94" s="476"/>
      <c r="AM94" s="476"/>
      <c r="AN94" s="476"/>
      <c r="AO94" s="476"/>
      <c r="AP94" s="494"/>
      <c r="AQ94" s="476"/>
      <c r="AR94" s="476"/>
      <c r="AS94" s="476"/>
      <c r="AT94" s="476"/>
      <c r="AU94" s="476"/>
      <c r="AV94" s="476"/>
      <c r="AW94" s="476"/>
      <c r="AX94" s="494"/>
      <c r="AY94" s="476"/>
      <c r="AZ94" s="476"/>
      <c r="BA94" s="476"/>
      <c r="BB94" s="476"/>
      <c r="BC94" s="476"/>
      <c r="BD94" s="476"/>
      <c r="BE94" s="476"/>
      <c r="BF94" s="494"/>
      <c r="BG94" s="476"/>
      <c r="BH94" s="476"/>
      <c r="BI94" s="476"/>
      <c r="BJ94" s="476"/>
      <c r="BK94" s="476"/>
      <c r="BL94" s="476"/>
    </row>
    <row r="95" spans="9:64" s="159" customFormat="1" ht="12" customHeight="1">
      <c r="I95" s="476"/>
      <c r="J95" s="494"/>
      <c r="K95" s="476"/>
      <c r="L95" s="476"/>
      <c r="M95" s="476"/>
      <c r="N95" s="476"/>
      <c r="O95" s="476"/>
      <c r="P95" s="476"/>
      <c r="Q95" s="476"/>
      <c r="R95" s="494"/>
      <c r="S95" s="476"/>
      <c r="T95" s="476"/>
      <c r="U95" s="476"/>
      <c r="V95" s="476"/>
      <c r="W95" s="476"/>
      <c r="X95" s="476"/>
      <c r="Y95" s="476"/>
      <c r="Z95" s="494"/>
      <c r="AA95" s="476"/>
      <c r="AB95" s="476"/>
      <c r="AC95" s="476"/>
      <c r="AD95" s="476"/>
      <c r="AE95" s="476"/>
      <c r="AF95" s="476"/>
      <c r="AG95" s="476"/>
      <c r="AH95" s="494"/>
      <c r="AI95" s="476"/>
      <c r="AJ95" s="476"/>
      <c r="AK95" s="476"/>
      <c r="AL95" s="476"/>
      <c r="AM95" s="476"/>
      <c r="AN95" s="476"/>
      <c r="AO95" s="476"/>
      <c r="AP95" s="494"/>
      <c r="AQ95" s="476"/>
      <c r="AR95" s="476"/>
      <c r="AS95" s="476"/>
      <c r="AT95" s="476"/>
      <c r="AU95" s="476"/>
      <c r="AV95" s="476"/>
      <c r="AW95" s="476"/>
      <c r="AX95" s="494"/>
      <c r="AY95" s="476"/>
      <c r="AZ95" s="476"/>
      <c r="BA95" s="476"/>
      <c r="BB95" s="476"/>
      <c r="BC95" s="476"/>
      <c r="BD95" s="476"/>
      <c r="BE95" s="476"/>
      <c r="BF95" s="494"/>
      <c r="BG95" s="476"/>
      <c r="BH95" s="476"/>
      <c r="BI95" s="476"/>
      <c r="BJ95" s="476"/>
      <c r="BK95" s="476"/>
      <c r="BL95" s="476"/>
    </row>
    <row r="96" spans="9:64" s="159" customFormat="1" ht="12" customHeight="1">
      <c r="I96" s="476"/>
      <c r="J96" s="494"/>
      <c r="K96" s="476"/>
      <c r="L96" s="476"/>
      <c r="M96" s="476"/>
      <c r="N96" s="476"/>
      <c r="O96" s="476"/>
      <c r="P96" s="476"/>
      <c r="Q96" s="476"/>
      <c r="R96" s="494"/>
      <c r="S96" s="476"/>
      <c r="T96" s="476"/>
      <c r="U96" s="476"/>
      <c r="V96" s="476"/>
      <c r="W96" s="476"/>
      <c r="X96" s="476"/>
      <c r="Y96" s="476"/>
      <c r="Z96" s="494"/>
      <c r="AA96" s="476"/>
      <c r="AB96" s="476"/>
      <c r="AC96" s="476"/>
      <c r="AD96" s="476"/>
      <c r="AE96" s="476"/>
      <c r="AF96" s="476"/>
      <c r="AG96" s="476"/>
      <c r="AH96" s="494"/>
      <c r="AI96" s="476"/>
      <c r="AJ96" s="476"/>
      <c r="AK96" s="476"/>
      <c r="AL96" s="476"/>
      <c r="AM96" s="476"/>
      <c r="AN96" s="476"/>
      <c r="AO96" s="476"/>
      <c r="AP96" s="494"/>
      <c r="AQ96" s="476"/>
      <c r="AR96" s="476"/>
      <c r="AS96" s="476"/>
      <c r="AT96" s="476"/>
      <c r="AU96" s="476"/>
      <c r="AV96" s="476"/>
      <c r="AW96" s="476"/>
      <c r="AX96" s="494"/>
      <c r="AY96" s="476"/>
      <c r="AZ96" s="476"/>
      <c r="BA96" s="476"/>
      <c r="BB96" s="476"/>
      <c r="BC96" s="476"/>
      <c r="BD96" s="476"/>
      <c r="BE96" s="476"/>
      <c r="BF96" s="494"/>
      <c r="BG96" s="476"/>
      <c r="BH96" s="476"/>
      <c r="BI96" s="476"/>
      <c r="BJ96" s="476"/>
      <c r="BK96" s="476"/>
      <c r="BL96" s="476"/>
    </row>
    <row r="97" spans="9:64" s="159" customFormat="1" ht="12" customHeight="1">
      <c r="I97" s="476"/>
      <c r="J97" s="494"/>
      <c r="K97" s="476"/>
      <c r="L97" s="476"/>
      <c r="M97" s="476"/>
      <c r="N97" s="476"/>
      <c r="O97" s="476"/>
      <c r="P97" s="476"/>
      <c r="Q97" s="476"/>
      <c r="R97" s="494"/>
      <c r="S97" s="476"/>
      <c r="T97" s="476"/>
      <c r="U97" s="476"/>
      <c r="V97" s="476"/>
      <c r="W97" s="476"/>
      <c r="X97" s="476"/>
      <c r="Y97" s="476"/>
      <c r="Z97" s="494"/>
      <c r="AA97" s="476"/>
      <c r="AB97" s="476"/>
      <c r="AC97" s="476"/>
      <c r="AD97" s="476"/>
      <c r="AE97" s="476"/>
      <c r="AF97" s="476"/>
      <c r="AG97" s="476"/>
      <c r="AH97" s="494"/>
      <c r="AI97" s="476"/>
      <c r="AJ97" s="476"/>
      <c r="AK97" s="476"/>
      <c r="AL97" s="476"/>
      <c r="AM97" s="476"/>
      <c r="AN97" s="476"/>
      <c r="AO97" s="476"/>
      <c r="AP97" s="494"/>
      <c r="AQ97" s="476"/>
      <c r="AR97" s="476"/>
      <c r="AS97" s="476"/>
      <c r="AT97" s="476"/>
      <c r="AU97" s="476"/>
      <c r="AV97" s="476"/>
      <c r="AW97" s="476"/>
      <c r="AX97" s="494"/>
      <c r="AY97" s="476"/>
      <c r="AZ97" s="476"/>
      <c r="BA97" s="476"/>
      <c r="BB97" s="476"/>
      <c r="BC97" s="476"/>
      <c r="BD97" s="476"/>
      <c r="BE97" s="476"/>
      <c r="BF97" s="494"/>
      <c r="BG97" s="476"/>
      <c r="BH97" s="476"/>
      <c r="BI97" s="476"/>
      <c r="BJ97" s="476"/>
      <c r="BK97" s="476"/>
      <c r="BL97" s="476"/>
    </row>
    <row r="98" spans="9:64" s="159" customFormat="1" ht="12" customHeight="1">
      <c r="I98" s="476"/>
      <c r="J98" s="494"/>
      <c r="K98" s="476"/>
      <c r="L98" s="476"/>
      <c r="M98" s="476"/>
      <c r="N98" s="476"/>
      <c r="O98" s="476"/>
      <c r="P98" s="476"/>
      <c r="Q98" s="476"/>
      <c r="R98" s="494"/>
      <c r="S98" s="476"/>
      <c r="T98" s="476"/>
      <c r="U98" s="476"/>
      <c r="V98" s="476"/>
      <c r="W98" s="476"/>
      <c r="X98" s="476"/>
      <c r="Y98" s="476"/>
      <c r="Z98" s="494"/>
      <c r="AA98" s="476"/>
      <c r="AB98" s="476"/>
      <c r="AC98" s="476"/>
      <c r="AD98" s="476"/>
      <c r="AE98" s="476"/>
      <c r="AF98" s="476"/>
      <c r="AG98" s="476"/>
      <c r="AH98" s="494"/>
      <c r="AI98" s="476"/>
      <c r="AJ98" s="476"/>
      <c r="AK98" s="476"/>
      <c r="AL98" s="476"/>
      <c r="AM98" s="476"/>
      <c r="AN98" s="476"/>
      <c r="AO98" s="476"/>
      <c r="AP98" s="494"/>
      <c r="AQ98" s="476"/>
      <c r="AR98" s="476"/>
      <c r="AS98" s="476"/>
      <c r="AT98" s="476"/>
      <c r="AU98" s="476"/>
      <c r="AV98" s="476"/>
      <c r="AW98" s="476"/>
      <c r="AX98" s="494"/>
      <c r="AY98" s="476"/>
      <c r="AZ98" s="476"/>
      <c r="BA98" s="476"/>
      <c r="BB98" s="476"/>
      <c r="BC98" s="476"/>
      <c r="BD98" s="476"/>
      <c r="BE98" s="476"/>
      <c r="BF98" s="494"/>
      <c r="BG98" s="476"/>
      <c r="BH98" s="476"/>
      <c r="BI98" s="476"/>
      <c r="BJ98" s="476"/>
      <c r="BK98" s="476"/>
      <c r="BL98" s="476"/>
    </row>
    <row r="99" spans="9:64" s="159" customFormat="1" ht="12" customHeight="1">
      <c r="I99" s="476"/>
      <c r="J99" s="494"/>
      <c r="K99" s="476"/>
      <c r="L99" s="476"/>
      <c r="M99" s="476"/>
      <c r="N99" s="476"/>
      <c r="O99" s="476"/>
      <c r="P99" s="476"/>
      <c r="Q99" s="476"/>
      <c r="R99" s="494"/>
      <c r="S99" s="476"/>
      <c r="T99" s="476"/>
      <c r="U99" s="476"/>
      <c r="V99" s="476"/>
      <c r="W99" s="476"/>
      <c r="X99" s="476"/>
      <c r="Y99" s="476"/>
      <c r="Z99" s="494"/>
      <c r="AA99" s="476"/>
      <c r="AB99" s="476"/>
      <c r="AC99" s="476"/>
      <c r="AD99" s="476"/>
      <c r="AE99" s="476"/>
      <c r="AF99" s="476"/>
      <c r="AG99" s="476"/>
      <c r="AH99" s="494"/>
      <c r="AI99" s="476"/>
      <c r="AJ99" s="476"/>
      <c r="AK99" s="476"/>
      <c r="AL99" s="476"/>
      <c r="AM99" s="476"/>
      <c r="AN99" s="476"/>
      <c r="AO99" s="476"/>
      <c r="AP99" s="494"/>
      <c r="AQ99" s="476"/>
      <c r="AR99" s="476"/>
      <c r="AS99" s="476"/>
      <c r="AT99" s="476"/>
      <c r="AU99" s="476"/>
      <c r="AV99" s="476"/>
      <c r="AW99" s="476"/>
      <c r="AX99" s="494"/>
      <c r="AY99" s="476"/>
      <c r="AZ99" s="476"/>
      <c r="BA99" s="476"/>
      <c r="BB99" s="476"/>
      <c r="BC99" s="476"/>
      <c r="BD99" s="476"/>
      <c r="BE99" s="476"/>
      <c r="BF99" s="494"/>
      <c r="BG99" s="476"/>
      <c r="BH99" s="476"/>
      <c r="BI99" s="476"/>
      <c r="BJ99" s="476"/>
      <c r="BK99" s="476"/>
      <c r="BL99" s="476"/>
    </row>
    <row r="100" spans="9:64" s="159" customFormat="1" ht="12" customHeight="1">
      <c r="I100" s="476"/>
      <c r="J100" s="494"/>
      <c r="K100" s="476"/>
      <c r="L100" s="476"/>
      <c r="M100" s="476"/>
      <c r="N100" s="476"/>
      <c r="O100" s="476"/>
      <c r="P100" s="476"/>
      <c r="Q100" s="476"/>
      <c r="R100" s="494"/>
      <c r="S100" s="476"/>
      <c r="T100" s="476"/>
      <c r="U100" s="476"/>
      <c r="V100" s="476"/>
      <c r="W100" s="476"/>
      <c r="X100" s="476"/>
      <c r="Y100" s="476"/>
      <c r="Z100" s="494"/>
      <c r="AA100" s="476"/>
      <c r="AB100" s="476"/>
      <c r="AC100" s="476"/>
      <c r="AD100" s="476"/>
      <c r="AE100" s="476"/>
      <c r="AF100" s="476"/>
      <c r="AG100" s="476"/>
      <c r="AH100" s="494"/>
      <c r="AI100" s="476"/>
      <c r="AJ100" s="476"/>
      <c r="AK100" s="476"/>
      <c r="AL100" s="476"/>
      <c r="AM100" s="476"/>
      <c r="AN100" s="476"/>
      <c r="AO100" s="476"/>
      <c r="AP100" s="494"/>
      <c r="AQ100" s="476"/>
      <c r="AR100" s="476"/>
      <c r="AS100" s="476"/>
      <c r="AT100" s="476"/>
      <c r="AU100" s="476"/>
      <c r="AV100" s="476"/>
      <c r="AW100" s="476"/>
      <c r="AX100" s="494"/>
      <c r="AY100" s="476"/>
      <c r="AZ100" s="476"/>
      <c r="BA100" s="476"/>
      <c r="BB100" s="476"/>
      <c r="BC100" s="476"/>
      <c r="BD100" s="476"/>
      <c r="BE100" s="476"/>
      <c r="BF100" s="494"/>
      <c r="BG100" s="476"/>
      <c r="BH100" s="476"/>
      <c r="BI100" s="476"/>
      <c r="BJ100" s="476"/>
      <c r="BK100" s="476"/>
      <c r="BL100" s="476"/>
    </row>
    <row r="101" spans="9:64" s="159" customFormat="1" ht="12" customHeight="1">
      <c r="I101" s="476"/>
      <c r="J101" s="494"/>
      <c r="K101" s="476"/>
      <c r="L101" s="476"/>
      <c r="M101" s="476"/>
      <c r="N101" s="476"/>
      <c r="O101" s="476"/>
      <c r="P101" s="476"/>
      <c r="Q101" s="476"/>
      <c r="R101" s="494"/>
      <c r="S101" s="476"/>
      <c r="T101" s="476"/>
      <c r="U101" s="476"/>
      <c r="V101" s="476"/>
      <c r="W101" s="476"/>
      <c r="X101" s="476"/>
      <c r="Y101" s="476"/>
      <c r="Z101" s="494"/>
      <c r="AA101" s="476"/>
      <c r="AB101" s="476"/>
      <c r="AC101" s="476"/>
      <c r="AD101" s="476"/>
      <c r="AE101" s="476"/>
      <c r="AF101" s="476"/>
      <c r="AG101" s="476"/>
      <c r="AH101" s="494"/>
      <c r="AI101" s="476"/>
      <c r="AJ101" s="476"/>
      <c r="AK101" s="476"/>
      <c r="AL101" s="476"/>
      <c r="AM101" s="476"/>
      <c r="AN101" s="476"/>
      <c r="AO101" s="476"/>
      <c r="AP101" s="494"/>
      <c r="AQ101" s="476"/>
      <c r="AR101" s="476"/>
      <c r="AS101" s="476"/>
      <c r="AT101" s="476"/>
      <c r="AU101" s="476"/>
      <c r="AV101" s="476"/>
      <c r="AW101" s="476"/>
      <c r="AX101" s="494"/>
      <c r="AY101" s="476"/>
      <c r="AZ101" s="476"/>
      <c r="BA101" s="476"/>
      <c r="BB101" s="476"/>
      <c r="BC101" s="476"/>
      <c r="BD101" s="476"/>
      <c r="BE101" s="476"/>
      <c r="BF101" s="494"/>
      <c r="BG101" s="476"/>
      <c r="BH101" s="476"/>
      <c r="BI101" s="476"/>
      <c r="BJ101" s="476"/>
      <c r="BK101" s="476"/>
      <c r="BL101" s="476"/>
    </row>
    <row r="102" spans="9:64" s="159" customFormat="1" ht="12" customHeight="1">
      <c r="I102" s="476"/>
      <c r="J102" s="494"/>
      <c r="K102" s="476"/>
      <c r="L102" s="476"/>
      <c r="M102" s="476"/>
      <c r="N102" s="476"/>
      <c r="O102" s="476"/>
      <c r="P102" s="476"/>
      <c r="Q102" s="476"/>
      <c r="R102" s="494"/>
      <c r="S102" s="476"/>
      <c r="T102" s="476"/>
      <c r="U102" s="476"/>
      <c r="V102" s="476"/>
      <c r="W102" s="476"/>
      <c r="X102" s="476"/>
      <c r="Y102" s="476"/>
      <c r="Z102" s="494"/>
      <c r="AA102" s="476"/>
      <c r="AB102" s="476"/>
      <c r="AC102" s="476"/>
      <c r="AD102" s="476"/>
      <c r="AE102" s="476"/>
      <c r="AF102" s="476"/>
      <c r="AG102" s="476"/>
      <c r="AH102" s="494"/>
      <c r="AI102" s="476"/>
      <c r="AJ102" s="476"/>
      <c r="AK102" s="476"/>
      <c r="AL102" s="476"/>
      <c r="AM102" s="476"/>
      <c r="AN102" s="476"/>
      <c r="AO102" s="476"/>
      <c r="AP102" s="494"/>
      <c r="AQ102" s="476"/>
      <c r="AR102" s="476"/>
      <c r="AS102" s="476"/>
      <c r="AT102" s="476"/>
      <c r="AU102" s="476"/>
      <c r="AV102" s="476"/>
      <c r="AW102" s="476"/>
      <c r="AX102" s="494"/>
      <c r="AY102" s="476"/>
      <c r="AZ102" s="476"/>
      <c r="BA102" s="476"/>
      <c r="BB102" s="476"/>
      <c r="BC102" s="476"/>
      <c r="BD102" s="476"/>
      <c r="BE102" s="476"/>
      <c r="BF102" s="494"/>
      <c r="BG102" s="476"/>
      <c r="BH102" s="476"/>
      <c r="BI102" s="476"/>
      <c r="BJ102" s="476"/>
      <c r="BK102" s="476"/>
      <c r="BL102" s="476"/>
    </row>
    <row r="103" spans="9:64" s="159" customFormat="1" ht="12" customHeight="1">
      <c r="I103" s="476"/>
      <c r="J103" s="494"/>
      <c r="K103" s="476"/>
      <c r="L103" s="476"/>
      <c r="M103" s="476"/>
      <c r="N103" s="476"/>
      <c r="O103" s="476"/>
      <c r="P103" s="476"/>
      <c r="Q103" s="476"/>
      <c r="R103" s="494"/>
      <c r="S103" s="476"/>
      <c r="T103" s="476"/>
      <c r="U103" s="476"/>
      <c r="V103" s="476"/>
      <c r="W103" s="476"/>
      <c r="X103" s="476"/>
      <c r="Y103" s="476"/>
      <c r="Z103" s="494"/>
      <c r="AA103" s="476"/>
      <c r="AB103" s="476"/>
      <c r="AC103" s="476"/>
      <c r="AD103" s="476"/>
      <c r="AE103" s="476"/>
      <c r="AF103" s="476"/>
      <c r="AG103" s="476"/>
      <c r="AH103" s="494"/>
      <c r="AI103" s="476"/>
      <c r="AJ103" s="476"/>
      <c r="AK103" s="476"/>
      <c r="AL103" s="476"/>
      <c r="AM103" s="476"/>
      <c r="AN103" s="476"/>
      <c r="AO103" s="476"/>
      <c r="AP103" s="494"/>
      <c r="AQ103" s="476"/>
      <c r="AR103" s="476"/>
      <c r="AS103" s="476"/>
      <c r="AT103" s="476"/>
      <c r="AU103" s="476"/>
      <c r="AV103" s="476"/>
      <c r="AW103" s="476"/>
      <c r="AX103" s="494"/>
      <c r="AY103" s="476"/>
      <c r="AZ103" s="476"/>
      <c r="BA103" s="476"/>
      <c r="BB103" s="476"/>
      <c r="BC103" s="476"/>
      <c r="BD103" s="476"/>
      <c r="BE103" s="476"/>
      <c r="BF103" s="494"/>
      <c r="BG103" s="476"/>
      <c r="BH103" s="476"/>
      <c r="BI103" s="476"/>
      <c r="BJ103" s="476"/>
      <c r="BK103" s="476"/>
      <c r="BL103" s="476"/>
    </row>
    <row r="104" spans="9:64" s="159" customFormat="1" ht="12" customHeight="1">
      <c r="I104" s="476"/>
      <c r="J104" s="494"/>
      <c r="K104" s="476"/>
      <c r="L104" s="476"/>
      <c r="M104" s="476"/>
      <c r="N104" s="476"/>
      <c r="O104" s="476"/>
      <c r="P104" s="476"/>
      <c r="Q104" s="476"/>
      <c r="R104" s="494"/>
      <c r="S104" s="476"/>
      <c r="T104" s="476"/>
      <c r="U104" s="476"/>
      <c r="V104" s="476"/>
      <c r="W104" s="476"/>
      <c r="X104" s="476"/>
      <c r="Y104" s="476"/>
      <c r="Z104" s="494"/>
      <c r="AA104" s="476"/>
      <c r="AB104" s="476"/>
      <c r="AC104" s="476"/>
      <c r="AD104" s="476"/>
      <c r="AE104" s="476"/>
      <c r="AF104" s="476"/>
      <c r="AG104" s="476"/>
      <c r="AH104" s="494"/>
      <c r="AI104" s="476"/>
      <c r="AJ104" s="476"/>
      <c r="AK104" s="476"/>
      <c r="AL104" s="476"/>
      <c r="AM104" s="476"/>
      <c r="AN104" s="476"/>
      <c r="AO104" s="476"/>
      <c r="AP104" s="494"/>
      <c r="AQ104" s="476"/>
      <c r="AR104" s="476"/>
      <c r="AS104" s="476"/>
      <c r="AT104" s="476"/>
      <c r="AU104" s="476"/>
      <c r="AV104" s="476"/>
      <c r="AW104" s="476"/>
      <c r="AX104" s="494"/>
      <c r="AY104" s="476"/>
      <c r="AZ104" s="476"/>
      <c r="BA104" s="476"/>
      <c r="BB104" s="476"/>
      <c r="BC104" s="476"/>
      <c r="BD104" s="476"/>
      <c r="BE104" s="476"/>
      <c r="BF104" s="494"/>
      <c r="BG104" s="476"/>
      <c r="BH104" s="476"/>
      <c r="BI104" s="476"/>
      <c r="BJ104" s="476"/>
      <c r="BK104" s="476"/>
      <c r="BL104" s="476"/>
    </row>
    <row r="105" spans="9:64" s="159" customFormat="1" ht="12" customHeight="1">
      <c r="I105" s="476"/>
      <c r="J105" s="494"/>
      <c r="K105" s="476"/>
      <c r="L105" s="476"/>
      <c r="M105" s="476"/>
      <c r="N105" s="476"/>
      <c r="O105" s="476"/>
      <c r="P105" s="476"/>
      <c r="Q105" s="476"/>
      <c r="R105" s="494"/>
      <c r="S105" s="476"/>
      <c r="T105" s="476"/>
      <c r="U105" s="476"/>
      <c r="V105" s="476"/>
      <c r="W105" s="476"/>
      <c r="X105" s="476"/>
      <c r="Y105" s="476"/>
      <c r="Z105" s="494"/>
      <c r="AA105" s="476"/>
      <c r="AB105" s="476"/>
      <c r="AC105" s="476"/>
      <c r="AD105" s="476"/>
      <c r="AE105" s="476"/>
      <c r="AF105" s="476"/>
      <c r="AG105" s="476"/>
      <c r="AH105" s="494"/>
      <c r="AI105" s="476"/>
      <c r="AJ105" s="476"/>
      <c r="AK105" s="476"/>
      <c r="AL105" s="476"/>
      <c r="AM105" s="476"/>
      <c r="AN105" s="476"/>
      <c r="AO105" s="476"/>
      <c r="AP105" s="494"/>
      <c r="AQ105" s="476"/>
      <c r="AR105" s="476"/>
      <c r="AS105" s="476"/>
      <c r="AT105" s="476"/>
      <c r="AU105" s="476"/>
      <c r="AV105" s="476"/>
      <c r="AW105" s="476"/>
      <c r="AX105" s="494"/>
      <c r="AY105" s="476"/>
      <c r="AZ105" s="476"/>
      <c r="BA105" s="476"/>
      <c r="BB105" s="476"/>
      <c r="BC105" s="476"/>
      <c r="BD105" s="476"/>
      <c r="BE105" s="476"/>
      <c r="BF105" s="494"/>
      <c r="BG105" s="476"/>
      <c r="BH105" s="476"/>
      <c r="BI105" s="476"/>
      <c r="BJ105" s="476"/>
      <c r="BK105" s="476"/>
      <c r="BL105" s="476"/>
    </row>
    <row r="106" spans="9:64" s="159" customFormat="1" ht="12" customHeight="1">
      <c r="I106" s="476"/>
      <c r="J106" s="494"/>
      <c r="K106" s="476"/>
      <c r="L106" s="476"/>
      <c r="M106" s="476"/>
      <c r="N106" s="476"/>
      <c r="O106" s="476"/>
      <c r="P106" s="476"/>
      <c r="Q106" s="476"/>
      <c r="R106" s="494"/>
      <c r="S106" s="476"/>
      <c r="T106" s="476"/>
      <c r="U106" s="476"/>
      <c r="V106" s="476"/>
      <c r="W106" s="476"/>
      <c r="X106" s="476"/>
      <c r="Y106" s="476"/>
      <c r="Z106" s="494"/>
      <c r="AA106" s="476"/>
      <c r="AB106" s="476"/>
      <c r="AC106" s="476"/>
      <c r="AD106" s="476"/>
      <c r="AE106" s="476"/>
      <c r="AF106" s="476"/>
      <c r="AG106" s="476"/>
      <c r="AH106" s="494"/>
      <c r="AI106" s="476"/>
      <c r="AJ106" s="476"/>
      <c r="AK106" s="476"/>
      <c r="AL106" s="476"/>
      <c r="AM106" s="476"/>
      <c r="AN106" s="476"/>
      <c r="AO106" s="476"/>
      <c r="AP106" s="494"/>
      <c r="AQ106" s="476"/>
      <c r="AR106" s="476"/>
      <c r="AS106" s="476"/>
      <c r="AT106" s="476"/>
      <c r="AU106" s="476"/>
      <c r="AV106" s="476"/>
      <c r="AW106" s="476"/>
      <c r="AX106" s="494"/>
      <c r="AY106" s="476"/>
      <c r="AZ106" s="476"/>
      <c r="BA106" s="476"/>
      <c r="BB106" s="476"/>
      <c r="BC106" s="476"/>
      <c r="BD106" s="476"/>
      <c r="BE106" s="476"/>
      <c r="BF106" s="494"/>
      <c r="BG106" s="476"/>
      <c r="BH106" s="476"/>
      <c r="BI106" s="476"/>
      <c r="BJ106" s="476"/>
      <c r="BK106" s="476"/>
      <c r="BL106" s="476"/>
    </row>
    <row r="107" spans="9:64" s="159" customFormat="1" ht="12" customHeight="1">
      <c r="I107" s="476"/>
      <c r="J107" s="494"/>
      <c r="K107" s="476"/>
      <c r="L107" s="476"/>
      <c r="M107" s="476"/>
      <c r="N107" s="476"/>
      <c r="O107" s="476"/>
      <c r="P107" s="476"/>
      <c r="Q107" s="476"/>
      <c r="R107" s="494"/>
      <c r="S107" s="476"/>
      <c r="T107" s="476"/>
      <c r="U107" s="476"/>
      <c r="V107" s="476"/>
      <c r="W107" s="476"/>
      <c r="X107" s="476"/>
      <c r="Y107" s="476"/>
      <c r="Z107" s="494"/>
      <c r="AA107" s="476"/>
      <c r="AB107" s="476"/>
      <c r="AC107" s="476"/>
      <c r="AD107" s="476"/>
      <c r="AE107" s="476"/>
      <c r="AF107" s="476"/>
      <c r="AG107" s="476"/>
      <c r="AH107" s="494"/>
      <c r="AI107" s="476"/>
      <c r="AJ107" s="476"/>
      <c r="AK107" s="476"/>
      <c r="AL107" s="476"/>
      <c r="AM107" s="476"/>
      <c r="AN107" s="476"/>
      <c r="AO107" s="476"/>
      <c r="AP107" s="494"/>
      <c r="AQ107" s="476"/>
      <c r="AR107" s="476"/>
      <c r="AS107" s="476"/>
      <c r="AT107" s="476"/>
      <c r="AU107" s="476"/>
      <c r="AV107" s="476"/>
      <c r="AW107" s="476"/>
      <c r="AX107" s="494"/>
      <c r="AY107" s="476"/>
      <c r="AZ107" s="476"/>
      <c r="BA107" s="476"/>
      <c r="BB107" s="476"/>
      <c r="BC107" s="476"/>
      <c r="BD107" s="476"/>
      <c r="BE107" s="476"/>
      <c r="BF107" s="494"/>
      <c r="BG107" s="476"/>
      <c r="BH107" s="476"/>
      <c r="BI107" s="476"/>
      <c r="BJ107" s="476"/>
      <c r="BK107" s="476"/>
      <c r="BL107" s="476"/>
    </row>
    <row r="108" spans="9:64" s="159" customFormat="1" ht="12" customHeight="1">
      <c r="I108" s="476"/>
      <c r="J108" s="494"/>
      <c r="K108" s="476"/>
      <c r="L108" s="476"/>
      <c r="M108" s="476"/>
      <c r="N108" s="476"/>
      <c r="O108" s="476"/>
      <c r="P108" s="476"/>
      <c r="Q108" s="476"/>
      <c r="R108" s="494"/>
      <c r="S108" s="476"/>
      <c r="T108" s="476"/>
      <c r="U108" s="476"/>
      <c r="V108" s="476"/>
      <c r="W108" s="476"/>
      <c r="X108" s="476"/>
      <c r="Y108" s="476"/>
      <c r="Z108" s="494"/>
      <c r="AA108" s="476"/>
      <c r="AB108" s="476"/>
      <c r="AC108" s="476"/>
      <c r="AD108" s="476"/>
      <c r="AE108" s="476"/>
      <c r="AF108" s="476"/>
      <c r="AG108" s="476"/>
      <c r="AH108" s="494"/>
      <c r="AI108" s="476"/>
      <c r="AJ108" s="476"/>
      <c r="AK108" s="476"/>
      <c r="AL108" s="476"/>
      <c r="AM108" s="476"/>
      <c r="AN108" s="476"/>
      <c r="AO108" s="476"/>
      <c r="AP108" s="494"/>
      <c r="AQ108" s="476"/>
      <c r="AR108" s="476"/>
      <c r="AS108" s="476"/>
      <c r="AT108" s="476"/>
      <c r="AU108" s="476"/>
      <c r="AV108" s="476"/>
      <c r="AW108" s="476"/>
      <c r="AX108" s="494"/>
      <c r="AY108" s="476"/>
      <c r="AZ108" s="476"/>
      <c r="BA108" s="476"/>
      <c r="BB108" s="476"/>
      <c r="BC108" s="476"/>
      <c r="BD108" s="476"/>
      <c r="BE108" s="476"/>
      <c r="BF108" s="494"/>
      <c r="BG108" s="476"/>
      <c r="BH108" s="476"/>
      <c r="BI108" s="476"/>
      <c r="BJ108" s="476"/>
      <c r="BK108" s="476"/>
      <c r="BL108" s="476"/>
    </row>
    <row r="109" spans="9:64" s="159" customFormat="1" ht="12" customHeight="1">
      <c r="I109" s="476"/>
      <c r="J109" s="494"/>
      <c r="K109" s="476"/>
      <c r="L109" s="476"/>
      <c r="M109" s="476"/>
      <c r="N109" s="476"/>
      <c r="O109" s="476"/>
      <c r="P109" s="476"/>
      <c r="Q109" s="476"/>
      <c r="R109" s="494"/>
      <c r="S109" s="476"/>
      <c r="T109" s="476"/>
      <c r="U109" s="476"/>
      <c r="V109" s="476"/>
      <c r="W109" s="476"/>
      <c r="X109" s="476"/>
      <c r="Y109" s="476"/>
      <c r="Z109" s="494"/>
      <c r="AA109" s="476"/>
      <c r="AB109" s="476"/>
      <c r="AC109" s="476"/>
      <c r="AD109" s="476"/>
      <c r="AE109" s="476"/>
      <c r="AF109" s="476"/>
      <c r="AG109" s="476"/>
      <c r="AH109" s="494"/>
      <c r="AI109" s="476"/>
      <c r="AJ109" s="476"/>
      <c r="AK109" s="476"/>
      <c r="AL109" s="476"/>
      <c r="AM109" s="476"/>
      <c r="AN109" s="476"/>
      <c r="AO109" s="476"/>
      <c r="AP109" s="494"/>
      <c r="AQ109" s="476"/>
      <c r="AR109" s="476"/>
      <c r="AS109" s="476"/>
      <c r="AT109" s="476"/>
      <c r="AU109" s="476"/>
      <c r="AV109" s="476"/>
      <c r="AW109" s="476"/>
      <c r="AX109" s="494"/>
      <c r="AY109" s="476"/>
      <c r="AZ109" s="476"/>
      <c r="BA109" s="476"/>
      <c r="BB109" s="476"/>
      <c r="BC109" s="476"/>
      <c r="BD109" s="476"/>
      <c r="BE109" s="476"/>
      <c r="BF109" s="494"/>
      <c r="BG109" s="476"/>
      <c r="BH109" s="476"/>
      <c r="BI109" s="476"/>
      <c r="BJ109" s="476"/>
      <c r="BK109" s="476"/>
      <c r="BL109" s="476"/>
    </row>
    <row r="110" spans="9:64" s="159" customFormat="1" ht="12" customHeight="1">
      <c r="I110" s="476"/>
      <c r="J110" s="494"/>
      <c r="K110" s="476"/>
      <c r="L110" s="476"/>
      <c r="M110" s="476"/>
      <c r="N110" s="476"/>
      <c r="O110" s="476"/>
      <c r="P110" s="476"/>
      <c r="Q110" s="476"/>
      <c r="R110" s="494"/>
      <c r="S110" s="476"/>
      <c r="T110" s="476"/>
      <c r="U110" s="476"/>
      <c r="V110" s="476"/>
      <c r="W110" s="476"/>
      <c r="X110" s="476"/>
      <c r="Y110" s="476"/>
      <c r="Z110" s="494"/>
      <c r="AA110" s="476"/>
      <c r="AB110" s="476"/>
      <c r="AC110" s="476"/>
      <c r="AD110" s="476"/>
      <c r="AE110" s="476"/>
      <c r="AF110" s="476"/>
      <c r="AG110" s="476"/>
      <c r="AH110" s="494"/>
      <c r="AI110" s="476"/>
      <c r="AJ110" s="476"/>
      <c r="AK110" s="476"/>
      <c r="AL110" s="476"/>
      <c r="AM110" s="476"/>
      <c r="AN110" s="476"/>
      <c r="AO110" s="476"/>
      <c r="AP110" s="494"/>
      <c r="AQ110" s="476"/>
      <c r="AR110" s="476"/>
      <c r="AS110" s="476"/>
      <c r="AT110" s="476"/>
      <c r="AU110" s="476"/>
      <c r="AV110" s="476"/>
      <c r="AW110" s="476"/>
      <c r="AX110" s="494"/>
      <c r="AY110" s="476"/>
      <c r="AZ110" s="476"/>
      <c r="BA110" s="476"/>
      <c r="BB110" s="476"/>
      <c r="BC110" s="476"/>
      <c r="BD110" s="476"/>
      <c r="BE110" s="476"/>
      <c r="BF110" s="494"/>
      <c r="BG110" s="476"/>
      <c r="BH110" s="476"/>
      <c r="BI110" s="476"/>
      <c r="BJ110" s="476"/>
      <c r="BK110" s="476"/>
      <c r="BL110" s="476"/>
    </row>
    <row r="111" spans="9:64" s="159" customFormat="1" ht="12" customHeight="1">
      <c r="I111" s="476"/>
      <c r="J111" s="494"/>
      <c r="K111" s="476"/>
      <c r="L111" s="476"/>
      <c r="M111" s="476"/>
      <c r="N111" s="476"/>
      <c r="O111" s="476"/>
      <c r="P111" s="476"/>
      <c r="Q111" s="476"/>
      <c r="R111" s="494"/>
      <c r="S111" s="476"/>
      <c r="T111" s="476"/>
      <c r="U111" s="476"/>
      <c r="V111" s="476"/>
      <c r="W111" s="476"/>
      <c r="X111" s="476"/>
      <c r="Y111" s="476"/>
      <c r="Z111" s="494"/>
      <c r="AA111" s="476"/>
      <c r="AB111" s="476"/>
      <c r="AC111" s="476"/>
      <c r="AD111" s="476"/>
      <c r="AE111" s="476"/>
      <c r="AF111" s="476"/>
      <c r="AG111" s="476"/>
      <c r="AH111" s="494"/>
      <c r="AI111" s="476"/>
      <c r="AJ111" s="476"/>
      <c r="AK111" s="476"/>
      <c r="AL111" s="476"/>
      <c r="AM111" s="476"/>
      <c r="AN111" s="476"/>
      <c r="AO111" s="476"/>
      <c r="AP111" s="494"/>
      <c r="AQ111" s="476"/>
      <c r="AR111" s="476"/>
      <c r="AS111" s="476"/>
      <c r="AT111" s="476"/>
      <c r="AU111" s="476"/>
      <c r="AV111" s="476"/>
      <c r="AW111" s="476"/>
      <c r="AX111" s="494"/>
      <c r="AY111" s="476"/>
      <c r="AZ111" s="476"/>
      <c r="BA111" s="476"/>
      <c r="BB111" s="476"/>
      <c r="BC111" s="476"/>
      <c r="BD111" s="476"/>
      <c r="BE111" s="476"/>
      <c r="BF111" s="494"/>
      <c r="BG111" s="476"/>
      <c r="BH111" s="476"/>
      <c r="BI111" s="476"/>
      <c r="BJ111" s="476"/>
      <c r="BK111" s="476"/>
      <c r="BL111" s="476"/>
    </row>
    <row r="112" spans="9:64" s="159" customFormat="1" ht="12" customHeight="1">
      <c r="I112" s="476"/>
      <c r="J112" s="494"/>
      <c r="K112" s="476"/>
      <c r="L112" s="476"/>
      <c r="M112" s="476"/>
      <c r="N112" s="476"/>
      <c r="O112" s="476"/>
      <c r="P112" s="476"/>
      <c r="Q112" s="476"/>
      <c r="R112" s="494"/>
      <c r="S112" s="476"/>
      <c r="T112" s="476"/>
      <c r="U112" s="476"/>
      <c r="V112" s="476"/>
      <c r="W112" s="476"/>
      <c r="X112" s="476"/>
      <c r="Y112" s="476"/>
      <c r="Z112" s="494"/>
      <c r="AA112" s="476"/>
      <c r="AB112" s="476"/>
      <c r="AC112" s="476"/>
      <c r="AD112" s="476"/>
      <c r="AE112" s="476"/>
      <c r="AF112" s="476"/>
      <c r="AG112" s="476"/>
      <c r="AH112" s="494"/>
      <c r="AI112" s="476"/>
      <c r="AJ112" s="476"/>
      <c r="AK112" s="476"/>
      <c r="AL112" s="476"/>
      <c r="AM112" s="476"/>
      <c r="AN112" s="476"/>
      <c r="AO112" s="476"/>
      <c r="AP112" s="494"/>
      <c r="AQ112" s="476"/>
      <c r="AR112" s="476"/>
      <c r="AS112" s="476"/>
      <c r="AT112" s="476"/>
      <c r="AU112" s="476"/>
      <c r="AV112" s="476"/>
      <c r="AW112" s="476"/>
      <c r="AX112" s="494"/>
      <c r="AY112" s="476"/>
      <c r="AZ112" s="476"/>
      <c r="BA112" s="476"/>
      <c r="BB112" s="476"/>
      <c r="BC112" s="476"/>
      <c r="BD112" s="476"/>
      <c r="BE112" s="476"/>
      <c r="BF112" s="494"/>
      <c r="BG112" s="476"/>
      <c r="BH112" s="476"/>
      <c r="BI112" s="476"/>
      <c r="BJ112" s="476"/>
      <c r="BK112" s="476"/>
      <c r="BL112" s="476"/>
    </row>
    <row r="113" spans="2:64" s="159" customFormat="1" ht="12" customHeight="1">
      <c r="I113" s="476"/>
      <c r="J113" s="494"/>
      <c r="K113" s="476"/>
      <c r="L113" s="476"/>
      <c r="M113" s="476"/>
      <c r="N113" s="476"/>
      <c r="O113" s="476"/>
      <c r="P113" s="476"/>
      <c r="Q113" s="476"/>
      <c r="R113" s="494"/>
      <c r="S113" s="476"/>
      <c r="T113" s="476"/>
      <c r="U113" s="476"/>
      <c r="V113" s="476"/>
      <c r="W113" s="476"/>
      <c r="X113" s="476"/>
      <c r="Y113" s="476"/>
      <c r="Z113" s="494"/>
      <c r="AA113" s="476"/>
      <c r="AB113" s="476"/>
      <c r="AC113" s="476"/>
      <c r="AD113" s="476"/>
      <c r="AE113" s="476"/>
      <c r="AF113" s="476"/>
      <c r="AG113" s="476"/>
      <c r="AH113" s="494"/>
      <c r="AI113" s="476"/>
      <c r="AJ113" s="476"/>
      <c r="AK113" s="476"/>
      <c r="AL113" s="476"/>
      <c r="AM113" s="476"/>
      <c r="AN113" s="476"/>
      <c r="AO113" s="476"/>
      <c r="AP113" s="494"/>
      <c r="AQ113" s="476"/>
      <c r="AR113" s="476"/>
      <c r="AS113" s="476"/>
      <c r="AT113" s="476"/>
      <c r="AU113" s="476"/>
      <c r="AV113" s="476"/>
      <c r="AW113" s="476"/>
      <c r="AX113" s="494"/>
      <c r="AY113" s="476"/>
      <c r="AZ113" s="476"/>
      <c r="BA113" s="476"/>
      <c r="BB113" s="476"/>
      <c r="BC113" s="476"/>
      <c r="BD113" s="476"/>
      <c r="BE113" s="476"/>
      <c r="BF113" s="494"/>
      <c r="BG113" s="476"/>
      <c r="BH113" s="476"/>
      <c r="BI113" s="476"/>
      <c r="BJ113" s="476"/>
      <c r="BK113" s="476"/>
      <c r="BL113" s="476"/>
    </row>
    <row r="114" spans="2:64" s="159" customFormat="1" ht="12" customHeight="1">
      <c r="E114" s="10"/>
      <c r="F114" s="10"/>
      <c r="G114" s="55"/>
      <c r="H114" s="10"/>
      <c r="I114" s="476"/>
      <c r="J114" s="494"/>
      <c r="K114" s="476"/>
      <c r="L114" s="476"/>
      <c r="M114" s="476"/>
      <c r="N114" s="476"/>
      <c r="O114" s="476"/>
      <c r="P114" s="476"/>
      <c r="Q114" s="476"/>
      <c r="R114" s="494"/>
      <c r="S114" s="476"/>
      <c r="T114" s="476"/>
      <c r="U114" s="476"/>
      <c r="V114" s="476"/>
      <c r="W114" s="476"/>
      <c r="X114" s="476"/>
      <c r="Y114" s="476"/>
      <c r="Z114" s="494"/>
      <c r="AA114" s="476"/>
      <c r="AB114" s="476"/>
      <c r="AC114" s="476"/>
      <c r="AD114" s="476"/>
      <c r="AE114" s="476"/>
      <c r="AF114" s="476"/>
      <c r="AG114" s="476"/>
      <c r="AH114" s="494"/>
      <c r="AI114" s="476"/>
      <c r="AJ114" s="476"/>
      <c r="AK114" s="476"/>
      <c r="AL114" s="476"/>
      <c r="AM114" s="476"/>
      <c r="AN114" s="476"/>
      <c r="AO114" s="476"/>
      <c r="AP114" s="494"/>
      <c r="AQ114" s="476"/>
      <c r="AR114" s="476"/>
      <c r="AS114" s="476"/>
      <c r="AT114" s="476"/>
      <c r="AU114" s="476"/>
      <c r="AV114" s="476"/>
      <c r="AW114" s="317"/>
      <c r="AX114" s="492"/>
      <c r="AY114" s="476"/>
      <c r="AZ114" s="476"/>
      <c r="BA114" s="476"/>
      <c r="BB114" s="476"/>
      <c r="BC114" s="495"/>
      <c r="BD114" s="476"/>
      <c r="BE114" s="476"/>
      <c r="BF114" s="494"/>
      <c r="BG114" s="476"/>
      <c r="BH114" s="476"/>
      <c r="BI114" s="476"/>
      <c r="BJ114" s="476"/>
      <c r="BK114" s="476"/>
      <c r="BL114" s="476"/>
    </row>
    <row r="115" spans="2:64" s="159" customFormat="1" ht="12" customHeight="1">
      <c r="B115" s="373"/>
      <c r="G115" s="373"/>
      <c r="I115" s="476"/>
      <c r="J115" s="494"/>
      <c r="K115" s="476"/>
      <c r="L115" s="476"/>
      <c r="M115" s="476"/>
      <c r="N115" s="476"/>
      <c r="O115" s="476"/>
      <c r="P115" s="476"/>
      <c r="Q115" s="476"/>
      <c r="R115" s="494"/>
      <c r="S115" s="476"/>
      <c r="T115" s="476"/>
      <c r="U115" s="476"/>
      <c r="V115" s="476"/>
      <c r="W115" s="476"/>
      <c r="X115" s="476"/>
      <c r="Y115" s="476"/>
      <c r="Z115" s="494"/>
      <c r="AA115" s="476"/>
      <c r="AB115" s="476"/>
      <c r="AC115" s="476"/>
      <c r="AD115" s="476"/>
      <c r="AE115" s="476"/>
      <c r="AF115" s="476"/>
      <c r="AG115" s="476"/>
      <c r="AH115" s="492"/>
      <c r="AI115" s="476"/>
      <c r="AJ115" s="476"/>
      <c r="AK115" s="476"/>
      <c r="AL115" s="476"/>
      <c r="AM115" s="495"/>
      <c r="AN115" s="476"/>
      <c r="AO115" s="476"/>
      <c r="AP115" s="494"/>
      <c r="AQ115" s="476"/>
      <c r="AR115" s="476"/>
      <c r="AS115" s="476"/>
      <c r="AT115" s="476"/>
      <c r="AU115" s="476"/>
      <c r="AV115" s="476"/>
      <c r="AW115" s="496"/>
      <c r="AX115" s="494"/>
      <c r="AY115" s="317"/>
      <c r="AZ115" s="317"/>
      <c r="BA115" s="317"/>
      <c r="BB115" s="317"/>
      <c r="BC115" s="317"/>
      <c r="BD115" s="317"/>
      <c r="BE115" s="476"/>
      <c r="BF115" s="494"/>
      <c r="BG115" s="476"/>
      <c r="BH115" s="476"/>
      <c r="BI115" s="476"/>
      <c r="BJ115" s="476"/>
      <c r="BK115" s="476"/>
      <c r="BL115" s="476"/>
    </row>
    <row r="116" spans="2:64" ht="12" customHeight="1">
      <c r="AW116" s="496"/>
      <c r="AX116" s="497"/>
      <c r="AY116" s="496"/>
      <c r="AZ116" s="496"/>
      <c r="BA116" s="496"/>
      <c r="BB116" s="496"/>
      <c r="BC116" s="496"/>
      <c r="BD116" s="496"/>
      <c r="BE116" s="476"/>
      <c r="BG116" s="476"/>
      <c r="BH116" s="476"/>
      <c r="BI116" s="476"/>
      <c r="BJ116" s="476"/>
      <c r="BK116" s="476"/>
      <c r="BL116" s="476"/>
    </row>
    <row r="117" spans="2:64" s="371" customFormat="1" ht="6.95" customHeight="1">
      <c r="B117" s="55"/>
      <c r="G117" s="55"/>
      <c r="I117" s="496"/>
      <c r="J117" s="497"/>
      <c r="K117" s="496"/>
      <c r="L117" s="496"/>
      <c r="M117" s="496"/>
      <c r="N117" s="496"/>
      <c r="O117" s="496"/>
      <c r="P117" s="496"/>
      <c r="Q117" s="496"/>
      <c r="R117" s="497"/>
      <c r="S117" s="496"/>
      <c r="T117" s="496"/>
      <c r="U117" s="496"/>
      <c r="V117" s="496"/>
      <c r="W117" s="496"/>
      <c r="X117" s="496"/>
      <c r="Y117" s="496"/>
      <c r="Z117" s="497"/>
      <c r="AA117" s="496"/>
      <c r="AB117" s="496"/>
      <c r="AC117" s="496"/>
      <c r="AD117" s="496"/>
      <c r="AE117" s="496"/>
      <c r="AF117" s="496"/>
      <c r="AG117" s="496"/>
      <c r="AH117" s="497"/>
      <c r="AI117" s="496"/>
      <c r="AJ117" s="496"/>
      <c r="AK117" s="496"/>
      <c r="AL117" s="496"/>
      <c r="AM117" s="496"/>
      <c r="AN117" s="496"/>
      <c r="AO117" s="496"/>
      <c r="AP117" s="497"/>
      <c r="AQ117" s="496"/>
      <c r="AR117" s="496"/>
      <c r="AS117" s="496"/>
      <c r="AT117" s="496"/>
      <c r="AU117" s="496"/>
      <c r="AV117" s="496"/>
      <c r="AW117" s="493"/>
      <c r="AX117" s="497"/>
      <c r="AY117" s="496"/>
      <c r="AZ117" s="496"/>
      <c r="BA117" s="496"/>
      <c r="BB117" s="496"/>
      <c r="BC117" s="496"/>
      <c r="BD117" s="496"/>
      <c r="BE117" s="476"/>
      <c r="BF117" s="494"/>
      <c r="BG117" s="476"/>
      <c r="BH117" s="476"/>
      <c r="BI117" s="476"/>
      <c r="BJ117" s="476"/>
      <c r="BK117" s="476"/>
      <c r="BL117" s="476"/>
    </row>
    <row r="118" spans="2:64" s="371" customFormat="1" ht="6.95" customHeight="1">
      <c r="B118" s="55"/>
      <c r="D118" s="383"/>
      <c r="E118" s="383"/>
      <c r="F118" s="383"/>
      <c r="G118" s="373"/>
      <c r="H118" s="383"/>
      <c r="I118" s="496"/>
      <c r="J118" s="497"/>
      <c r="K118" s="496"/>
      <c r="L118" s="496"/>
      <c r="M118" s="496"/>
      <c r="N118" s="496"/>
      <c r="O118" s="496"/>
      <c r="P118" s="496"/>
      <c r="Q118" s="496"/>
      <c r="R118" s="497"/>
      <c r="S118" s="496"/>
      <c r="T118" s="496"/>
      <c r="U118" s="496"/>
      <c r="V118" s="496"/>
      <c r="W118" s="496"/>
      <c r="X118" s="496"/>
      <c r="Y118" s="496"/>
      <c r="Z118" s="497"/>
      <c r="AA118" s="496"/>
      <c r="AB118" s="496"/>
      <c r="AC118" s="496"/>
      <c r="AD118" s="496"/>
      <c r="AE118" s="496"/>
      <c r="AF118" s="496"/>
      <c r="AG118" s="496"/>
      <c r="AH118" s="497"/>
      <c r="AI118" s="496"/>
      <c r="AJ118" s="496"/>
      <c r="AK118" s="496"/>
      <c r="AL118" s="496"/>
      <c r="AM118" s="496"/>
      <c r="AN118" s="496"/>
      <c r="AO118" s="496"/>
      <c r="AP118" s="497"/>
      <c r="AQ118" s="496"/>
      <c r="AR118" s="496"/>
      <c r="AS118" s="496"/>
      <c r="AT118" s="496"/>
      <c r="AU118" s="496"/>
      <c r="AV118" s="496"/>
      <c r="AW118" s="493"/>
      <c r="AX118" s="498"/>
      <c r="AY118" s="493"/>
      <c r="AZ118" s="493"/>
      <c r="BA118" s="493"/>
      <c r="BB118" s="493"/>
      <c r="BC118" s="493"/>
      <c r="BD118" s="493"/>
      <c r="BE118" s="476"/>
      <c r="BF118" s="494"/>
      <c r="BG118" s="476"/>
      <c r="BH118" s="476"/>
      <c r="BI118" s="476"/>
      <c r="BJ118" s="476"/>
      <c r="BK118" s="476"/>
      <c r="BL118" s="476"/>
    </row>
    <row r="119" spans="2:64" s="55" customFormat="1" ht="7.5" customHeight="1">
      <c r="I119" s="493"/>
      <c r="J119" s="498"/>
      <c r="K119" s="493"/>
      <c r="L119" s="493"/>
      <c r="M119" s="493"/>
      <c r="N119" s="493"/>
      <c r="O119" s="493"/>
      <c r="P119" s="493"/>
      <c r="Q119" s="493"/>
      <c r="R119" s="498"/>
      <c r="S119" s="493"/>
      <c r="T119" s="493"/>
      <c r="U119" s="493"/>
      <c r="V119" s="493"/>
      <c r="W119" s="493"/>
      <c r="X119" s="493"/>
      <c r="Y119" s="493"/>
      <c r="Z119" s="498"/>
      <c r="AA119" s="493"/>
      <c r="AB119" s="493"/>
      <c r="AC119" s="493"/>
      <c r="AD119" s="493"/>
      <c r="AE119" s="493"/>
      <c r="AF119" s="493"/>
      <c r="AG119" s="493"/>
      <c r="AH119" s="498"/>
      <c r="AI119" s="493"/>
      <c r="AJ119" s="493"/>
      <c r="AK119" s="493"/>
      <c r="AL119" s="493"/>
      <c r="AM119" s="493"/>
      <c r="AN119" s="493"/>
      <c r="AO119" s="493"/>
      <c r="AP119" s="498"/>
      <c r="AQ119" s="493"/>
      <c r="AR119" s="493"/>
      <c r="AS119" s="493"/>
      <c r="AT119" s="493"/>
      <c r="AU119" s="493"/>
      <c r="AV119" s="493"/>
      <c r="AW119" s="493"/>
      <c r="AX119" s="498"/>
      <c r="AY119" s="493"/>
      <c r="AZ119" s="493"/>
      <c r="BA119" s="493"/>
      <c r="BB119" s="493"/>
      <c r="BC119" s="493"/>
      <c r="BD119" s="493"/>
      <c r="BE119" s="476"/>
      <c r="BF119" s="494"/>
      <c r="BG119" s="476"/>
      <c r="BH119" s="476"/>
      <c r="BI119" s="476"/>
      <c r="BJ119" s="476"/>
      <c r="BK119" s="476"/>
      <c r="BL119" s="476"/>
    </row>
    <row r="120" spans="2:64" s="55" customFormat="1" ht="7.5" customHeight="1">
      <c r="I120" s="493"/>
      <c r="J120" s="498"/>
      <c r="K120" s="493"/>
      <c r="L120" s="493"/>
      <c r="M120" s="493"/>
      <c r="N120" s="493"/>
      <c r="O120" s="493"/>
      <c r="P120" s="493"/>
      <c r="Q120" s="493"/>
      <c r="R120" s="498"/>
      <c r="S120" s="493"/>
      <c r="T120" s="493"/>
      <c r="U120" s="493"/>
      <c r="V120" s="493"/>
      <c r="W120" s="493"/>
      <c r="X120" s="493"/>
      <c r="Y120" s="493"/>
      <c r="Z120" s="498"/>
      <c r="AA120" s="493"/>
      <c r="AB120" s="493"/>
      <c r="AC120" s="493"/>
      <c r="AD120" s="493"/>
      <c r="AE120" s="493"/>
      <c r="AF120" s="493"/>
      <c r="AG120" s="493"/>
      <c r="AH120" s="498"/>
      <c r="AI120" s="493"/>
      <c r="AJ120" s="493"/>
      <c r="AK120" s="493"/>
      <c r="AL120" s="493"/>
      <c r="AM120" s="493"/>
      <c r="AN120" s="493"/>
      <c r="AO120" s="493"/>
      <c r="AP120" s="498"/>
      <c r="AQ120" s="493"/>
      <c r="AR120" s="493"/>
      <c r="AS120" s="493"/>
      <c r="AT120" s="493"/>
      <c r="AU120" s="493"/>
      <c r="AV120" s="493"/>
      <c r="AW120" s="493"/>
      <c r="AX120" s="498"/>
      <c r="AY120" s="493"/>
      <c r="AZ120" s="493"/>
      <c r="BA120" s="493"/>
      <c r="BB120" s="493"/>
      <c r="BC120" s="493"/>
      <c r="BD120" s="493"/>
      <c r="BE120" s="317"/>
      <c r="BF120" s="494"/>
      <c r="BG120" s="317"/>
      <c r="BH120" s="317"/>
      <c r="BI120" s="317"/>
      <c r="BJ120" s="317"/>
      <c r="BK120" s="317"/>
      <c r="BL120" s="317"/>
    </row>
    <row r="121" spans="2:64" s="55" customFormat="1" ht="7.5" customHeight="1">
      <c r="I121" s="493"/>
      <c r="J121" s="498"/>
      <c r="K121" s="493"/>
      <c r="L121" s="493"/>
      <c r="M121" s="493"/>
      <c r="N121" s="493"/>
      <c r="O121" s="493"/>
      <c r="P121" s="493"/>
      <c r="Q121" s="493"/>
      <c r="R121" s="498"/>
      <c r="S121" s="493"/>
      <c r="T121" s="493"/>
      <c r="U121" s="493"/>
      <c r="V121" s="493"/>
      <c r="W121" s="493"/>
      <c r="X121" s="493"/>
      <c r="Y121" s="493"/>
      <c r="Z121" s="498"/>
      <c r="AA121" s="493"/>
      <c r="AB121" s="493"/>
      <c r="AC121" s="493"/>
      <c r="AD121" s="493"/>
      <c r="AE121" s="493"/>
      <c r="AF121" s="493"/>
      <c r="AG121" s="493"/>
      <c r="AH121" s="498"/>
      <c r="AI121" s="493"/>
      <c r="AJ121" s="493"/>
      <c r="AK121" s="493"/>
      <c r="AL121" s="493"/>
      <c r="AM121" s="493"/>
      <c r="AN121" s="493"/>
      <c r="AO121" s="493"/>
      <c r="AP121" s="498"/>
      <c r="AQ121" s="493"/>
      <c r="AR121" s="493"/>
      <c r="AS121" s="493"/>
      <c r="AT121" s="493"/>
      <c r="AU121" s="493"/>
      <c r="AV121" s="493"/>
      <c r="AW121" s="493"/>
      <c r="AX121" s="498"/>
      <c r="AY121" s="493"/>
      <c r="AZ121" s="493"/>
      <c r="BA121" s="493"/>
      <c r="BB121" s="493"/>
      <c r="BC121" s="493"/>
      <c r="BD121" s="493"/>
      <c r="BE121" s="496"/>
      <c r="BF121" s="497"/>
      <c r="BG121" s="496"/>
      <c r="BH121" s="496"/>
      <c r="BI121" s="496"/>
      <c r="BJ121" s="496"/>
      <c r="BK121" s="496"/>
      <c r="BL121" s="496"/>
    </row>
    <row r="122" spans="2:64" s="55" customFormat="1" ht="7.5" customHeight="1">
      <c r="I122" s="493"/>
      <c r="J122" s="498"/>
      <c r="K122" s="493"/>
      <c r="L122" s="493"/>
      <c r="M122" s="493"/>
      <c r="N122" s="493"/>
      <c r="O122" s="493"/>
      <c r="P122" s="493"/>
      <c r="Q122" s="493"/>
      <c r="R122" s="498"/>
      <c r="S122" s="493"/>
      <c r="T122" s="493"/>
      <c r="U122" s="493"/>
      <c r="V122" s="493"/>
      <c r="W122" s="493"/>
      <c r="X122" s="493"/>
      <c r="Y122" s="493"/>
      <c r="Z122" s="498"/>
      <c r="AA122" s="493"/>
      <c r="AB122" s="493"/>
      <c r="AC122" s="493"/>
      <c r="AD122" s="493"/>
      <c r="AE122" s="493"/>
      <c r="AF122" s="493"/>
      <c r="AG122" s="493"/>
      <c r="AH122" s="498"/>
      <c r="AI122" s="493"/>
      <c r="AJ122" s="493"/>
      <c r="AK122" s="493"/>
      <c r="AL122" s="493"/>
      <c r="AM122" s="493"/>
      <c r="AN122" s="493"/>
      <c r="AO122" s="493"/>
      <c r="AP122" s="498"/>
      <c r="AQ122" s="493"/>
      <c r="AR122" s="493"/>
      <c r="AS122" s="493"/>
      <c r="AT122" s="493"/>
      <c r="AU122" s="493"/>
      <c r="AV122" s="493"/>
      <c r="AW122" s="493"/>
      <c r="AX122" s="498"/>
      <c r="AY122" s="493"/>
      <c r="AZ122" s="493"/>
      <c r="BA122" s="493"/>
      <c r="BB122" s="493"/>
      <c r="BC122" s="493"/>
      <c r="BD122" s="493"/>
      <c r="BE122" s="496"/>
      <c r="BF122" s="497"/>
      <c r="BG122" s="496"/>
      <c r="BH122" s="496"/>
      <c r="BI122" s="496"/>
      <c r="BJ122" s="496"/>
      <c r="BK122" s="496"/>
      <c r="BL122" s="496"/>
    </row>
    <row r="123" spans="2:64" s="55" customFormat="1" ht="7.5" customHeight="1">
      <c r="I123" s="493"/>
      <c r="J123" s="498"/>
      <c r="K123" s="493"/>
      <c r="L123" s="493"/>
      <c r="M123" s="493"/>
      <c r="N123" s="493"/>
      <c r="O123" s="493"/>
      <c r="P123" s="493"/>
      <c r="Q123" s="493"/>
      <c r="R123" s="498"/>
      <c r="S123" s="493"/>
      <c r="T123" s="493"/>
      <c r="U123" s="493"/>
      <c r="V123" s="493"/>
      <c r="W123" s="493"/>
      <c r="X123" s="493"/>
      <c r="Y123" s="493"/>
      <c r="Z123" s="498"/>
      <c r="AA123" s="493"/>
      <c r="AB123" s="493"/>
      <c r="AC123" s="493"/>
      <c r="AD123" s="493"/>
      <c r="AE123" s="493"/>
      <c r="AF123" s="493"/>
      <c r="AG123" s="493"/>
      <c r="AH123" s="498"/>
      <c r="AI123" s="493"/>
      <c r="AJ123" s="493"/>
      <c r="AK123" s="493"/>
      <c r="AL123" s="493"/>
      <c r="AM123" s="493"/>
      <c r="AN123" s="493"/>
      <c r="AO123" s="493"/>
      <c r="AP123" s="498"/>
      <c r="AQ123" s="493"/>
      <c r="AR123" s="493"/>
      <c r="AS123" s="493"/>
      <c r="AT123" s="493"/>
      <c r="AU123" s="493"/>
      <c r="AV123" s="493"/>
      <c r="AW123" s="495"/>
      <c r="AX123" s="498"/>
      <c r="AY123" s="493"/>
      <c r="AZ123" s="493"/>
      <c r="BA123" s="493"/>
      <c r="BB123" s="493"/>
      <c r="BC123" s="493"/>
      <c r="BD123" s="493"/>
      <c r="BE123" s="493"/>
      <c r="BF123" s="498"/>
      <c r="BG123" s="493"/>
      <c r="BH123" s="493"/>
      <c r="BI123" s="493"/>
      <c r="BJ123" s="493"/>
      <c r="BK123" s="493"/>
      <c r="BL123" s="493"/>
    </row>
    <row r="124" spans="2:64" s="55" customFormat="1" ht="7.5" customHeight="1">
      <c r="I124" s="493"/>
      <c r="J124" s="498"/>
      <c r="K124" s="493"/>
      <c r="L124" s="493"/>
      <c r="M124" s="493"/>
      <c r="N124" s="493"/>
      <c r="O124" s="493"/>
      <c r="P124" s="493"/>
      <c r="Q124" s="493"/>
      <c r="R124" s="498"/>
      <c r="S124" s="493"/>
      <c r="T124" s="493"/>
      <c r="U124" s="493"/>
      <c r="V124" s="493"/>
      <c r="W124" s="493"/>
      <c r="X124" s="493"/>
      <c r="Y124" s="493"/>
      <c r="Z124" s="498"/>
      <c r="AA124" s="493"/>
      <c r="AB124" s="493"/>
      <c r="AC124" s="493"/>
      <c r="AD124" s="493"/>
      <c r="AE124" s="493"/>
      <c r="AF124" s="493"/>
      <c r="AG124" s="493"/>
      <c r="AH124" s="498"/>
      <c r="AI124" s="493"/>
      <c r="AJ124" s="493"/>
      <c r="AK124" s="493"/>
      <c r="AL124" s="493"/>
      <c r="AM124" s="493"/>
      <c r="AN124" s="493"/>
      <c r="AO124" s="493"/>
      <c r="AP124" s="498"/>
      <c r="AQ124" s="493"/>
      <c r="AR124" s="493"/>
      <c r="AS124" s="493"/>
      <c r="AT124" s="493"/>
      <c r="AU124" s="493"/>
      <c r="AV124" s="493"/>
      <c r="AW124" s="495"/>
      <c r="AX124" s="498"/>
      <c r="AY124" s="495"/>
      <c r="AZ124" s="495"/>
      <c r="BA124" s="495"/>
      <c r="BB124" s="495"/>
      <c r="BC124" s="495"/>
      <c r="BD124" s="495"/>
      <c r="BE124" s="493"/>
      <c r="BF124" s="498"/>
      <c r="BG124" s="493"/>
      <c r="BH124" s="493"/>
      <c r="BI124" s="493"/>
      <c r="BJ124" s="493"/>
      <c r="BK124" s="493"/>
      <c r="BL124" s="493"/>
    </row>
    <row r="125" spans="2:64" s="373" customFormat="1" ht="7.5" customHeight="1">
      <c r="I125" s="495"/>
      <c r="J125" s="498"/>
      <c r="K125" s="495"/>
      <c r="L125" s="495"/>
      <c r="M125" s="495"/>
      <c r="N125" s="495"/>
      <c r="O125" s="495"/>
      <c r="P125" s="495"/>
      <c r="Q125" s="495"/>
      <c r="R125" s="498"/>
      <c r="S125" s="495"/>
      <c r="T125" s="495"/>
      <c r="U125" s="495"/>
      <c r="V125" s="495"/>
      <c r="W125" s="495"/>
      <c r="X125" s="495"/>
      <c r="Y125" s="495"/>
      <c r="Z125" s="498"/>
      <c r="AA125" s="495"/>
      <c r="AB125" s="495"/>
      <c r="AC125" s="495"/>
      <c r="AD125" s="495"/>
      <c r="AE125" s="495"/>
      <c r="AF125" s="495"/>
      <c r="AG125" s="495"/>
      <c r="AH125" s="498"/>
      <c r="AI125" s="495"/>
      <c r="AJ125" s="495"/>
      <c r="AK125" s="495"/>
      <c r="AL125" s="495"/>
      <c r="AM125" s="495"/>
      <c r="AN125" s="495"/>
      <c r="AO125" s="495"/>
      <c r="AP125" s="498"/>
      <c r="AQ125" s="495"/>
      <c r="AR125" s="495"/>
      <c r="AS125" s="495"/>
      <c r="AT125" s="495"/>
      <c r="AU125" s="495"/>
      <c r="AV125" s="495"/>
      <c r="AW125" s="495"/>
      <c r="AX125" s="498"/>
      <c r="AY125" s="495"/>
      <c r="AZ125" s="495"/>
      <c r="BA125" s="495"/>
      <c r="BB125" s="495"/>
      <c r="BC125" s="495"/>
      <c r="BD125" s="495"/>
      <c r="BE125" s="493"/>
      <c r="BF125" s="498"/>
      <c r="BG125" s="493"/>
      <c r="BH125" s="493"/>
      <c r="BI125" s="493"/>
      <c r="BJ125" s="493"/>
      <c r="BK125" s="493"/>
      <c r="BL125" s="493"/>
    </row>
    <row r="126" spans="2:64" s="373" customFormat="1" ht="7.5" customHeight="1">
      <c r="I126" s="495"/>
      <c r="J126" s="498"/>
      <c r="K126" s="495"/>
      <c r="L126" s="495"/>
      <c r="M126" s="495"/>
      <c r="N126" s="495"/>
      <c r="O126" s="495"/>
      <c r="P126" s="495"/>
      <c r="Q126" s="495"/>
      <c r="R126" s="492"/>
      <c r="S126" s="495"/>
      <c r="T126" s="495"/>
      <c r="U126" s="495"/>
      <c r="V126" s="495"/>
      <c r="W126" s="495"/>
      <c r="X126" s="495"/>
      <c r="Y126" s="495"/>
      <c r="Z126" s="498"/>
      <c r="AA126" s="495"/>
      <c r="AB126" s="495"/>
      <c r="AC126" s="495"/>
      <c r="AD126" s="495"/>
      <c r="AE126" s="495"/>
      <c r="AF126" s="495"/>
      <c r="AG126" s="495"/>
      <c r="AH126" s="498"/>
      <c r="AI126" s="495"/>
      <c r="AJ126" s="495"/>
      <c r="AK126" s="495"/>
      <c r="AL126" s="495"/>
      <c r="AM126" s="495"/>
      <c r="AN126" s="495"/>
      <c r="AO126" s="495"/>
      <c r="AP126" s="498"/>
      <c r="AQ126" s="495"/>
      <c r="AR126" s="495"/>
      <c r="AS126" s="495"/>
      <c r="AT126" s="495"/>
      <c r="AU126" s="495"/>
      <c r="AV126" s="495"/>
      <c r="AW126" s="495"/>
      <c r="AX126" s="498"/>
      <c r="AY126" s="495"/>
      <c r="AZ126" s="495"/>
      <c r="BA126" s="495"/>
      <c r="BB126" s="495"/>
      <c r="BC126" s="495"/>
      <c r="BD126" s="495"/>
      <c r="BE126" s="493"/>
      <c r="BF126" s="498"/>
      <c r="BG126" s="493"/>
      <c r="BH126" s="493"/>
      <c r="BI126" s="493"/>
      <c r="BJ126" s="493"/>
      <c r="BK126" s="493"/>
      <c r="BL126" s="493"/>
    </row>
    <row r="127" spans="2:64" s="373" customFormat="1" ht="7.5" customHeight="1">
      <c r="I127" s="495"/>
      <c r="J127" s="498"/>
      <c r="K127" s="495"/>
      <c r="L127" s="495"/>
      <c r="M127" s="495"/>
      <c r="N127" s="495"/>
      <c r="O127" s="495"/>
      <c r="P127" s="495"/>
      <c r="Q127" s="495"/>
      <c r="R127" s="492"/>
      <c r="S127" s="495"/>
      <c r="T127" s="495"/>
      <c r="U127" s="495"/>
      <c r="V127" s="495"/>
      <c r="W127" s="495"/>
      <c r="X127" s="495"/>
      <c r="Y127" s="495"/>
      <c r="Z127" s="498"/>
      <c r="AA127" s="495"/>
      <c r="AB127" s="495"/>
      <c r="AC127" s="495"/>
      <c r="AD127" s="495"/>
      <c r="AE127" s="495"/>
      <c r="AF127" s="495"/>
      <c r="AG127" s="495"/>
      <c r="AH127" s="498"/>
      <c r="AI127" s="495"/>
      <c r="AJ127" s="495"/>
      <c r="AK127" s="495"/>
      <c r="AL127" s="495"/>
      <c r="AM127" s="495"/>
      <c r="AN127" s="495"/>
      <c r="AO127" s="495"/>
      <c r="AP127" s="498"/>
      <c r="AQ127" s="495"/>
      <c r="AR127" s="495"/>
      <c r="AS127" s="495"/>
      <c r="AT127" s="495"/>
      <c r="AU127" s="495"/>
      <c r="AV127" s="495"/>
      <c r="AW127" s="499"/>
      <c r="AX127" s="498"/>
      <c r="AY127" s="495"/>
      <c r="AZ127" s="495"/>
      <c r="BA127" s="495"/>
      <c r="BB127" s="495"/>
      <c r="BC127" s="495"/>
      <c r="BD127" s="495"/>
      <c r="BE127" s="493"/>
      <c r="BF127" s="498"/>
      <c r="BG127" s="493"/>
      <c r="BH127" s="493"/>
      <c r="BI127" s="493"/>
      <c r="BJ127" s="493"/>
      <c r="BK127" s="493"/>
      <c r="BL127" s="493"/>
    </row>
    <row r="128" spans="2:64" s="373" customFormat="1" ht="7.5" customHeight="1">
      <c r="I128" s="495"/>
      <c r="J128" s="498"/>
      <c r="K128" s="495"/>
      <c r="L128" s="495"/>
      <c r="M128" s="495"/>
      <c r="N128" s="495"/>
      <c r="O128" s="495"/>
      <c r="P128" s="495"/>
      <c r="Q128" s="495"/>
      <c r="R128" s="492"/>
      <c r="S128" s="495"/>
      <c r="T128" s="495"/>
      <c r="U128" s="495"/>
      <c r="V128" s="495"/>
      <c r="W128" s="495"/>
      <c r="X128" s="495"/>
      <c r="Y128" s="495"/>
      <c r="Z128" s="498"/>
      <c r="AA128" s="495"/>
      <c r="AB128" s="495"/>
      <c r="AC128" s="495"/>
      <c r="AD128" s="495"/>
      <c r="AE128" s="495"/>
      <c r="AF128" s="495"/>
      <c r="AG128" s="495"/>
      <c r="AH128" s="498"/>
      <c r="AI128" s="495"/>
      <c r="AJ128" s="495"/>
      <c r="AK128" s="495"/>
      <c r="AL128" s="495"/>
      <c r="AM128" s="495"/>
      <c r="AN128" s="495"/>
      <c r="AO128" s="495"/>
      <c r="AP128" s="498"/>
      <c r="AQ128" s="495"/>
      <c r="AR128" s="495"/>
      <c r="AS128" s="495"/>
      <c r="AT128" s="495"/>
      <c r="AU128" s="495"/>
      <c r="AV128" s="495"/>
      <c r="AW128" s="495"/>
      <c r="AX128" s="500"/>
      <c r="AY128" s="499"/>
      <c r="AZ128" s="499"/>
      <c r="BA128" s="499"/>
      <c r="BB128" s="499"/>
      <c r="BC128" s="499"/>
      <c r="BD128" s="499"/>
      <c r="BE128" s="493"/>
      <c r="BF128" s="498"/>
      <c r="BG128" s="493"/>
      <c r="BH128" s="493"/>
      <c r="BI128" s="493"/>
      <c r="BJ128" s="493"/>
      <c r="BK128" s="493"/>
      <c r="BL128" s="493"/>
    </row>
    <row r="129" spans="1:64" s="374" customFormat="1" ht="7.5" customHeight="1">
      <c r="I129" s="499"/>
      <c r="J129" s="500"/>
      <c r="K129" s="499"/>
      <c r="L129" s="499"/>
      <c r="M129" s="499"/>
      <c r="N129" s="499"/>
      <c r="O129" s="499"/>
      <c r="P129" s="499"/>
      <c r="Q129" s="499"/>
      <c r="R129" s="491"/>
      <c r="S129" s="499"/>
      <c r="T129" s="499"/>
      <c r="U129" s="499"/>
      <c r="V129" s="499"/>
      <c r="W129" s="499"/>
      <c r="X129" s="499"/>
      <c r="Y129" s="499"/>
      <c r="Z129" s="500"/>
      <c r="AA129" s="499"/>
      <c r="AB129" s="499"/>
      <c r="AC129" s="499"/>
      <c r="AD129" s="499"/>
      <c r="AE129" s="499"/>
      <c r="AF129" s="499"/>
      <c r="AG129" s="499"/>
      <c r="AH129" s="500"/>
      <c r="AI129" s="499"/>
      <c r="AJ129" s="499"/>
      <c r="AK129" s="499"/>
      <c r="AL129" s="499"/>
      <c r="AM129" s="499"/>
      <c r="AN129" s="499"/>
      <c r="AO129" s="499"/>
      <c r="AP129" s="500"/>
      <c r="AQ129" s="499"/>
      <c r="AR129" s="499"/>
      <c r="AS129" s="499"/>
      <c r="AT129" s="499"/>
      <c r="AU129" s="499"/>
      <c r="AV129" s="499"/>
      <c r="AW129" s="496"/>
      <c r="AX129" s="498"/>
      <c r="AY129" s="495"/>
      <c r="AZ129" s="495"/>
      <c r="BA129" s="495"/>
      <c r="BB129" s="495"/>
      <c r="BC129" s="495"/>
      <c r="BD129" s="495"/>
      <c r="BE129" s="495"/>
      <c r="BF129" s="498"/>
      <c r="BG129" s="495"/>
      <c r="BH129" s="495"/>
      <c r="BI129" s="495"/>
      <c r="BJ129" s="495"/>
      <c r="BK129" s="495"/>
      <c r="BL129" s="495"/>
    </row>
    <row r="130" spans="1:64" s="373" customFormat="1" ht="7.5" customHeight="1">
      <c r="I130" s="495"/>
      <c r="J130" s="498"/>
      <c r="K130" s="495"/>
      <c r="L130" s="495"/>
      <c r="M130" s="495"/>
      <c r="N130" s="495"/>
      <c r="O130" s="495"/>
      <c r="P130" s="495"/>
      <c r="Q130" s="495"/>
      <c r="R130" s="492"/>
      <c r="S130" s="495"/>
      <c r="T130" s="495"/>
      <c r="U130" s="495"/>
      <c r="V130" s="495"/>
      <c r="W130" s="495"/>
      <c r="X130" s="495"/>
      <c r="Y130" s="495"/>
      <c r="Z130" s="498"/>
      <c r="AA130" s="495"/>
      <c r="AB130" s="495"/>
      <c r="AC130" s="495"/>
      <c r="AD130" s="495"/>
      <c r="AE130" s="495"/>
      <c r="AF130" s="495"/>
      <c r="AG130" s="495"/>
      <c r="AH130" s="498"/>
      <c r="AI130" s="495"/>
      <c r="AJ130" s="495"/>
      <c r="AK130" s="495"/>
      <c r="AL130" s="495"/>
      <c r="AM130" s="495"/>
      <c r="AN130" s="495"/>
      <c r="AO130" s="495"/>
      <c r="AP130" s="498"/>
      <c r="AQ130" s="495"/>
      <c r="AR130" s="495"/>
      <c r="AS130" s="495"/>
      <c r="AT130" s="495"/>
      <c r="AU130" s="495"/>
      <c r="AV130" s="495"/>
      <c r="AW130" s="496"/>
      <c r="AX130" s="497"/>
      <c r="AY130" s="496"/>
      <c r="AZ130" s="496"/>
      <c r="BA130" s="496"/>
      <c r="BB130" s="496"/>
      <c r="BC130" s="496"/>
      <c r="BD130" s="496"/>
      <c r="BE130" s="495"/>
      <c r="BF130" s="498"/>
      <c r="BG130" s="495"/>
      <c r="BH130" s="495"/>
      <c r="BI130" s="495"/>
      <c r="BJ130" s="495"/>
      <c r="BK130" s="495"/>
      <c r="BL130" s="495"/>
    </row>
    <row r="131" spans="1:64" s="371" customFormat="1" ht="6.95" customHeight="1">
      <c r="B131" s="55"/>
      <c r="G131" s="55"/>
      <c r="I131" s="496"/>
      <c r="J131" s="497"/>
      <c r="K131" s="496"/>
      <c r="L131" s="496"/>
      <c r="M131" s="496"/>
      <c r="N131" s="496"/>
      <c r="O131" s="496"/>
      <c r="P131" s="496"/>
      <c r="Q131" s="496"/>
      <c r="R131" s="492"/>
      <c r="S131" s="496"/>
      <c r="T131" s="496"/>
      <c r="U131" s="496"/>
      <c r="V131" s="496"/>
      <c r="W131" s="493"/>
      <c r="X131" s="496"/>
      <c r="Y131" s="496"/>
      <c r="Z131" s="497"/>
      <c r="AA131" s="496"/>
      <c r="AB131" s="496"/>
      <c r="AC131" s="496"/>
      <c r="AD131" s="496"/>
      <c r="AE131" s="496"/>
      <c r="AF131" s="496"/>
      <c r="AG131" s="496"/>
      <c r="AH131" s="497"/>
      <c r="AI131" s="496"/>
      <c r="AJ131" s="496"/>
      <c r="AK131" s="496"/>
      <c r="AL131" s="496"/>
      <c r="AM131" s="496"/>
      <c r="AN131" s="496"/>
      <c r="AO131" s="496"/>
      <c r="AP131" s="497"/>
      <c r="AQ131" s="496"/>
      <c r="AR131" s="496"/>
      <c r="AS131" s="496"/>
      <c r="AT131" s="496"/>
      <c r="AU131" s="496"/>
      <c r="AV131" s="496"/>
      <c r="AW131" s="496"/>
      <c r="AX131" s="497"/>
      <c r="AY131" s="496"/>
      <c r="AZ131" s="496"/>
      <c r="BA131" s="496"/>
      <c r="BB131" s="496"/>
      <c r="BC131" s="496"/>
      <c r="BD131" s="496"/>
      <c r="BE131" s="495"/>
      <c r="BF131" s="498"/>
      <c r="BG131" s="495"/>
      <c r="BH131" s="495"/>
      <c r="BI131" s="495"/>
      <c r="BJ131" s="495"/>
      <c r="BK131" s="495"/>
      <c r="BL131" s="495"/>
    </row>
    <row r="132" spans="1:64" s="371" customFormat="1" ht="6.95" customHeight="1">
      <c r="B132" s="55"/>
      <c r="G132" s="55"/>
      <c r="I132" s="496"/>
      <c r="J132" s="497"/>
      <c r="K132" s="496"/>
      <c r="L132" s="496"/>
      <c r="M132" s="496"/>
      <c r="N132" s="496"/>
      <c r="O132" s="496"/>
      <c r="P132" s="496"/>
      <c r="Q132" s="501"/>
      <c r="R132" s="481"/>
      <c r="S132" s="502"/>
      <c r="T132" s="496"/>
      <c r="U132" s="496"/>
      <c r="V132" s="496"/>
      <c r="W132" s="493"/>
      <c r="X132" s="496"/>
      <c r="Y132" s="496"/>
      <c r="Z132" s="497"/>
      <c r="AA132" s="496"/>
      <c r="AB132" s="496"/>
      <c r="AC132" s="496"/>
      <c r="AD132" s="496"/>
      <c r="AE132" s="496"/>
      <c r="AF132" s="496"/>
      <c r="AG132" s="496"/>
      <c r="AH132" s="497"/>
      <c r="AI132" s="496"/>
      <c r="AJ132" s="496"/>
      <c r="AK132" s="496"/>
      <c r="AL132" s="496"/>
      <c r="AM132" s="496"/>
      <c r="AN132" s="496"/>
      <c r="AO132" s="496"/>
      <c r="AP132" s="497"/>
      <c r="AQ132" s="496"/>
      <c r="AR132" s="496"/>
      <c r="AS132" s="496"/>
      <c r="AT132" s="496"/>
      <c r="AU132" s="496"/>
      <c r="AV132" s="496"/>
      <c r="AW132" s="496"/>
      <c r="AX132" s="497"/>
      <c r="AY132" s="496"/>
      <c r="AZ132" s="496"/>
      <c r="BA132" s="496"/>
      <c r="BB132" s="496"/>
      <c r="BC132" s="496"/>
      <c r="BD132" s="496"/>
      <c r="BE132" s="495"/>
      <c r="BF132" s="498"/>
      <c r="BG132" s="495"/>
      <c r="BH132" s="495"/>
      <c r="BI132" s="495"/>
      <c r="BJ132" s="495"/>
      <c r="BK132" s="495"/>
      <c r="BL132" s="495"/>
    </row>
    <row r="133" spans="1:64" s="371" customFormat="1" ht="6.95" customHeight="1">
      <c r="B133" s="55"/>
      <c r="G133" s="55"/>
      <c r="I133" s="496"/>
      <c r="J133" s="497"/>
      <c r="K133" s="496"/>
      <c r="L133" s="496"/>
      <c r="M133" s="496"/>
      <c r="N133" s="496"/>
      <c r="O133" s="496"/>
      <c r="P133" s="496"/>
      <c r="Q133" s="501"/>
      <c r="R133" s="481"/>
      <c r="S133" s="502"/>
      <c r="T133" s="496"/>
      <c r="U133" s="496"/>
      <c r="V133" s="496"/>
      <c r="W133" s="493"/>
      <c r="X133" s="496"/>
      <c r="Y133" s="496"/>
      <c r="Z133" s="497"/>
      <c r="AA133" s="496"/>
      <c r="AB133" s="496"/>
      <c r="AC133" s="496"/>
      <c r="AD133" s="496"/>
      <c r="AE133" s="496"/>
      <c r="AF133" s="496"/>
      <c r="AG133" s="496"/>
      <c r="AH133" s="497"/>
      <c r="AI133" s="496"/>
      <c r="AJ133" s="496"/>
      <c r="AK133" s="496"/>
      <c r="AL133" s="496"/>
      <c r="AM133" s="496"/>
      <c r="AN133" s="496"/>
      <c r="AO133" s="496"/>
      <c r="AP133" s="497"/>
      <c r="AQ133" s="496"/>
      <c r="AR133" s="496"/>
      <c r="AS133" s="496"/>
      <c r="AT133" s="496"/>
      <c r="AU133" s="496"/>
      <c r="AV133" s="496"/>
      <c r="AW133" s="496"/>
      <c r="AX133" s="497"/>
      <c r="AY133" s="496"/>
      <c r="AZ133" s="496"/>
      <c r="BA133" s="496"/>
      <c r="BB133" s="496"/>
      <c r="BC133" s="496"/>
      <c r="BD133" s="496"/>
      <c r="BE133" s="499"/>
      <c r="BF133" s="500"/>
      <c r="BG133" s="499"/>
      <c r="BH133" s="499"/>
      <c r="BI133" s="499"/>
      <c r="BJ133" s="499"/>
      <c r="BK133" s="499"/>
      <c r="BL133" s="499"/>
    </row>
    <row r="134" spans="1:64" s="371" customFormat="1" ht="6.95" customHeight="1">
      <c r="B134" s="55"/>
      <c r="G134" s="55"/>
      <c r="I134" s="496"/>
      <c r="J134" s="497"/>
      <c r="K134" s="496"/>
      <c r="L134" s="496"/>
      <c r="M134" s="496"/>
      <c r="N134" s="496"/>
      <c r="O134" s="496"/>
      <c r="P134" s="496"/>
      <c r="Q134" s="501"/>
      <c r="R134" s="481"/>
      <c r="S134" s="502"/>
      <c r="T134" s="496"/>
      <c r="U134" s="496"/>
      <c r="V134" s="496"/>
      <c r="W134" s="493"/>
      <c r="X134" s="496"/>
      <c r="Y134" s="496"/>
      <c r="Z134" s="497"/>
      <c r="AA134" s="496"/>
      <c r="AB134" s="496"/>
      <c r="AC134" s="496"/>
      <c r="AD134" s="496"/>
      <c r="AE134" s="496"/>
      <c r="AF134" s="496"/>
      <c r="AG134" s="496"/>
      <c r="AH134" s="497"/>
      <c r="AI134" s="496"/>
      <c r="AJ134" s="496"/>
      <c r="AK134" s="496"/>
      <c r="AL134" s="496"/>
      <c r="AM134" s="496"/>
      <c r="AN134" s="496"/>
      <c r="AO134" s="496"/>
      <c r="AP134" s="497"/>
      <c r="AQ134" s="496"/>
      <c r="AR134" s="496"/>
      <c r="AS134" s="496"/>
      <c r="AT134" s="496"/>
      <c r="AU134" s="496"/>
      <c r="AV134" s="496"/>
      <c r="AW134" s="496"/>
      <c r="AX134" s="497"/>
      <c r="AY134" s="496"/>
      <c r="AZ134" s="496"/>
      <c r="BA134" s="496"/>
      <c r="BB134" s="496"/>
      <c r="BC134" s="496"/>
      <c r="BD134" s="496"/>
      <c r="BE134" s="495"/>
      <c r="BF134" s="498"/>
      <c r="BG134" s="495"/>
      <c r="BH134" s="495"/>
      <c r="BI134" s="495"/>
      <c r="BJ134" s="495"/>
      <c r="BK134" s="495"/>
      <c r="BL134" s="495"/>
    </row>
    <row r="135" spans="1:64" s="371" customFormat="1" ht="6.95" customHeight="1">
      <c r="B135" s="55"/>
      <c r="G135" s="55"/>
      <c r="I135" s="496"/>
      <c r="J135" s="497"/>
      <c r="K135" s="496"/>
      <c r="L135" s="496"/>
      <c r="M135" s="496"/>
      <c r="N135" s="496"/>
      <c r="O135" s="496"/>
      <c r="P135" s="496"/>
      <c r="Q135" s="501"/>
      <c r="R135" s="481"/>
      <c r="S135" s="502"/>
      <c r="T135" s="501"/>
      <c r="U135" s="501"/>
      <c r="V135" s="501"/>
      <c r="W135" s="472"/>
      <c r="X135" s="501"/>
      <c r="Y135" s="496"/>
      <c r="Z135" s="497"/>
      <c r="AA135" s="496"/>
      <c r="AB135" s="496"/>
      <c r="AC135" s="496"/>
      <c r="AD135" s="496"/>
      <c r="AE135" s="496"/>
      <c r="AF135" s="496"/>
      <c r="AG135" s="496"/>
      <c r="AH135" s="497"/>
      <c r="AI135" s="496"/>
      <c r="AJ135" s="496"/>
      <c r="AK135" s="496"/>
      <c r="AL135" s="496"/>
      <c r="AM135" s="496"/>
      <c r="AN135" s="496"/>
      <c r="AO135" s="496"/>
      <c r="AP135" s="497"/>
      <c r="AQ135" s="496"/>
      <c r="AR135" s="496"/>
      <c r="AS135" s="496"/>
      <c r="AT135" s="496"/>
      <c r="AU135" s="496"/>
      <c r="AV135" s="496"/>
      <c r="AW135" s="496"/>
      <c r="AX135" s="497"/>
      <c r="AY135" s="496"/>
      <c r="AZ135" s="496"/>
      <c r="BA135" s="496"/>
      <c r="BB135" s="496"/>
      <c r="BC135" s="496"/>
      <c r="BD135" s="496"/>
      <c r="BE135" s="496"/>
      <c r="BF135" s="497"/>
      <c r="BG135" s="496"/>
      <c r="BH135" s="496"/>
      <c r="BI135" s="496"/>
      <c r="BJ135" s="496"/>
      <c r="BK135" s="496"/>
      <c r="BL135" s="496"/>
    </row>
    <row r="136" spans="1:64" s="371" customFormat="1" ht="6.95" customHeight="1">
      <c r="B136" s="55"/>
      <c r="G136" s="55"/>
      <c r="I136" s="496"/>
      <c r="J136" s="497"/>
      <c r="K136" s="496"/>
      <c r="L136" s="496"/>
      <c r="M136" s="496"/>
      <c r="N136" s="496"/>
      <c r="O136" s="496"/>
      <c r="P136" s="496"/>
      <c r="Q136" s="496"/>
      <c r="R136" s="492"/>
      <c r="S136" s="496"/>
      <c r="T136" s="496"/>
      <c r="U136" s="496"/>
      <c r="V136" s="496"/>
      <c r="W136" s="493"/>
      <c r="X136" s="496"/>
      <c r="Y136" s="496"/>
      <c r="Z136" s="497"/>
      <c r="AA136" s="496"/>
      <c r="AB136" s="496"/>
      <c r="AC136" s="496"/>
      <c r="AD136" s="496"/>
      <c r="AE136" s="496"/>
      <c r="AF136" s="496"/>
      <c r="AG136" s="496"/>
      <c r="AH136" s="497"/>
      <c r="AI136" s="496"/>
      <c r="AJ136" s="496"/>
      <c r="AK136" s="496"/>
      <c r="AL136" s="496"/>
      <c r="AM136" s="496"/>
      <c r="AN136" s="496"/>
      <c r="AO136" s="496"/>
      <c r="AP136" s="497"/>
      <c r="AQ136" s="496"/>
      <c r="AR136" s="496"/>
      <c r="AS136" s="496"/>
      <c r="AT136" s="496"/>
      <c r="AU136" s="496"/>
      <c r="AV136" s="496"/>
      <c r="AW136" s="496"/>
      <c r="AX136" s="497"/>
      <c r="AY136" s="496"/>
      <c r="AZ136" s="496"/>
      <c r="BA136" s="496"/>
      <c r="BB136" s="496"/>
      <c r="BC136" s="496"/>
      <c r="BD136" s="496"/>
      <c r="BE136" s="496"/>
      <c r="BF136" s="497"/>
      <c r="BG136" s="496"/>
      <c r="BH136" s="496"/>
      <c r="BI136" s="496"/>
      <c r="BJ136" s="496"/>
      <c r="BK136" s="496"/>
      <c r="BL136" s="496"/>
    </row>
    <row r="137" spans="1:64" s="371" customFormat="1" ht="6.95" customHeight="1">
      <c r="A137" s="372"/>
      <c r="B137" s="55"/>
      <c r="G137" s="55"/>
      <c r="I137" s="496"/>
      <c r="J137" s="497"/>
      <c r="K137" s="496"/>
      <c r="L137" s="496"/>
      <c r="M137" s="496"/>
      <c r="N137" s="496"/>
      <c r="O137" s="496"/>
      <c r="P137" s="496"/>
      <c r="Q137" s="496"/>
      <c r="R137" s="492"/>
      <c r="S137" s="496"/>
      <c r="T137" s="496"/>
      <c r="U137" s="496"/>
      <c r="V137" s="496"/>
      <c r="W137" s="493"/>
      <c r="X137" s="496"/>
      <c r="Y137" s="496"/>
      <c r="Z137" s="497"/>
      <c r="AA137" s="496"/>
      <c r="AB137" s="496"/>
      <c r="AC137" s="496"/>
      <c r="AD137" s="496"/>
      <c r="AE137" s="496"/>
      <c r="AF137" s="496"/>
      <c r="AG137" s="496"/>
      <c r="AH137" s="497"/>
      <c r="AI137" s="496"/>
      <c r="AJ137" s="496"/>
      <c r="AK137" s="496"/>
      <c r="AL137" s="496"/>
      <c r="AM137" s="496"/>
      <c r="AN137" s="496"/>
      <c r="AO137" s="496"/>
      <c r="AP137" s="497"/>
      <c r="AQ137" s="496"/>
      <c r="AR137" s="496"/>
      <c r="AS137" s="496"/>
      <c r="AT137" s="496"/>
      <c r="AU137" s="496"/>
      <c r="AV137" s="496"/>
      <c r="AW137" s="496"/>
      <c r="AX137" s="497"/>
      <c r="AY137" s="496"/>
      <c r="AZ137" s="496"/>
      <c r="BA137" s="496"/>
      <c r="BB137" s="496"/>
      <c r="BC137" s="496"/>
      <c r="BD137" s="496"/>
      <c r="BE137" s="496"/>
      <c r="BF137" s="497"/>
      <c r="BG137" s="496"/>
      <c r="BH137" s="496"/>
      <c r="BI137" s="496"/>
      <c r="BJ137" s="496"/>
      <c r="BK137" s="496"/>
      <c r="BL137" s="496"/>
    </row>
    <row r="138" spans="1:64" s="371" customFormat="1" ht="6.95" customHeight="1">
      <c r="B138" s="55"/>
      <c r="G138" s="55"/>
      <c r="I138" s="496"/>
      <c r="J138" s="497"/>
      <c r="K138" s="496"/>
      <c r="L138" s="496"/>
      <c r="M138" s="496"/>
      <c r="N138" s="496"/>
      <c r="O138" s="496"/>
      <c r="P138" s="496"/>
      <c r="Q138" s="496"/>
      <c r="R138" s="492"/>
      <c r="S138" s="496"/>
      <c r="T138" s="496"/>
      <c r="U138" s="496"/>
      <c r="V138" s="496"/>
      <c r="W138" s="493"/>
      <c r="X138" s="496"/>
      <c r="Y138" s="496"/>
      <c r="Z138" s="497"/>
      <c r="AA138" s="496"/>
      <c r="AB138" s="496"/>
      <c r="AC138" s="496"/>
      <c r="AD138" s="496"/>
      <c r="AE138" s="496"/>
      <c r="AF138" s="496"/>
      <c r="AG138" s="496"/>
      <c r="AH138" s="497"/>
      <c r="AI138" s="496"/>
      <c r="AJ138" s="496"/>
      <c r="AK138" s="496"/>
      <c r="AL138" s="496"/>
      <c r="AM138" s="496"/>
      <c r="AN138" s="496"/>
      <c r="AO138" s="496"/>
      <c r="AP138" s="497"/>
      <c r="AQ138" s="496"/>
      <c r="AR138" s="496"/>
      <c r="AS138" s="496"/>
      <c r="AT138" s="496"/>
      <c r="AU138" s="496"/>
      <c r="AV138" s="496"/>
      <c r="AW138" s="493"/>
      <c r="AX138" s="497"/>
      <c r="AY138" s="496"/>
      <c r="AZ138" s="496"/>
      <c r="BA138" s="496"/>
      <c r="BB138" s="496"/>
      <c r="BC138" s="496"/>
      <c r="BD138" s="496"/>
      <c r="BE138" s="496"/>
      <c r="BF138" s="497"/>
      <c r="BG138" s="496"/>
      <c r="BH138" s="496"/>
      <c r="BI138" s="496"/>
      <c r="BJ138" s="496"/>
      <c r="BK138" s="496"/>
      <c r="BL138" s="496"/>
    </row>
    <row r="139" spans="1:64" s="371" customFormat="1" ht="9" customHeight="1">
      <c r="B139" s="55"/>
      <c r="G139" s="55"/>
      <c r="I139" s="496"/>
      <c r="J139" s="497"/>
      <c r="K139" s="496"/>
      <c r="L139" s="496"/>
      <c r="M139" s="496"/>
      <c r="N139" s="496"/>
      <c r="O139" s="496"/>
      <c r="P139" s="496"/>
      <c r="Q139" s="496"/>
      <c r="R139" s="492"/>
      <c r="S139" s="496"/>
      <c r="T139" s="496"/>
      <c r="U139" s="496"/>
      <c r="V139" s="496"/>
      <c r="W139" s="493"/>
      <c r="X139" s="496"/>
      <c r="Y139" s="496"/>
      <c r="Z139" s="497"/>
      <c r="AA139" s="496"/>
      <c r="AB139" s="496"/>
      <c r="AC139" s="496"/>
      <c r="AD139" s="496"/>
      <c r="AE139" s="496"/>
      <c r="AF139" s="496"/>
      <c r="AG139" s="496"/>
      <c r="AH139" s="497"/>
      <c r="AI139" s="496"/>
      <c r="AJ139" s="496"/>
      <c r="AK139" s="496"/>
      <c r="AL139" s="496"/>
      <c r="AM139" s="496"/>
      <c r="AN139" s="496"/>
      <c r="AO139" s="496"/>
      <c r="AP139" s="497"/>
      <c r="AQ139" s="496"/>
      <c r="AR139" s="496"/>
      <c r="AS139" s="496"/>
      <c r="AT139" s="496"/>
      <c r="AU139" s="496"/>
      <c r="AV139" s="496"/>
      <c r="AW139" s="493"/>
      <c r="AX139" s="498"/>
      <c r="AY139" s="493"/>
      <c r="AZ139" s="493"/>
      <c r="BA139" s="493"/>
      <c r="BB139" s="493"/>
      <c r="BC139" s="493"/>
      <c r="BD139" s="493"/>
      <c r="BE139" s="496"/>
      <c r="BF139" s="497"/>
      <c r="BG139" s="496"/>
      <c r="BH139" s="496"/>
      <c r="BI139" s="496"/>
      <c r="BJ139" s="496"/>
      <c r="BK139" s="496"/>
      <c r="BL139" s="496"/>
    </row>
    <row r="140" spans="1:64" s="55" customFormat="1" ht="8.1" customHeight="1">
      <c r="I140" s="493"/>
      <c r="J140" s="498"/>
      <c r="K140" s="493"/>
      <c r="L140" s="493"/>
      <c r="M140" s="493"/>
      <c r="N140" s="493"/>
      <c r="O140" s="493"/>
      <c r="P140" s="493"/>
      <c r="Q140" s="493"/>
      <c r="R140" s="492"/>
      <c r="S140" s="493"/>
      <c r="T140" s="493"/>
      <c r="U140" s="493"/>
      <c r="V140" s="493"/>
      <c r="W140" s="493"/>
      <c r="X140" s="493"/>
      <c r="Y140" s="493"/>
      <c r="Z140" s="498"/>
      <c r="AA140" s="493"/>
      <c r="AB140" s="493"/>
      <c r="AC140" s="493"/>
      <c r="AD140" s="493"/>
      <c r="AE140" s="493"/>
      <c r="AF140" s="493"/>
      <c r="AG140" s="493"/>
      <c r="AH140" s="498"/>
      <c r="AI140" s="493"/>
      <c r="AJ140" s="493"/>
      <c r="AK140" s="493"/>
      <c r="AL140" s="493"/>
      <c r="AM140" s="493"/>
      <c r="AN140" s="493"/>
      <c r="AO140" s="493"/>
      <c r="AP140" s="498"/>
      <c r="AQ140" s="493"/>
      <c r="AR140" s="493"/>
      <c r="AS140" s="493"/>
      <c r="AT140" s="493"/>
      <c r="AU140" s="493"/>
      <c r="AV140" s="493"/>
      <c r="AW140" s="493"/>
      <c r="AX140" s="498"/>
      <c r="AY140" s="493"/>
      <c r="AZ140" s="493"/>
      <c r="BA140" s="493"/>
      <c r="BB140" s="493"/>
      <c r="BC140" s="493"/>
      <c r="BD140" s="493"/>
      <c r="BE140" s="496"/>
      <c r="BF140" s="497"/>
      <c r="BG140" s="496"/>
      <c r="BH140" s="496"/>
      <c r="BI140" s="496"/>
      <c r="BJ140" s="496"/>
      <c r="BK140" s="496"/>
      <c r="BL140" s="496"/>
    </row>
    <row r="141" spans="1:64" s="55" customFormat="1" ht="8.1" customHeight="1">
      <c r="I141" s="493"/>
      <c r="J141" s="498"/>
      <c r="K141" s="493"/>
      <c r="L141" s="493"/>
      <c r="M141" s="493"/>
      <c r="N141" s="493"/>
      <c r="O141" s="493"/>
      <c r="P141" s="493"/>
      <c r="Q141" s="493"/>
      <c r="R141" s="492"/>
      <c r="S141" s="493"/>
      <c r="T141" s="493"/>
      <c r="U141" s="493"/>
      <c r="V141" s="493"/>
      <c r="W141" s="493"/>
      <c r="X141" s="493"/>
      <c r="Y141" s="493"/>
      <c r="Z141" s="498"/>
      <c r="AA141" s="493"/>
      <c r="AB141" s="493"/>
      <c r="AC141" s="493"/>
      <c r="AD141" s="493"/>
      <c r="AE141" s="493"/>
      <c r="AF141" s="493"/>
      <c r="AG141" s="493"/>
      <c r="AH141" s="498"/>
      <c r="AI141" s="493"/>
      <c r="AJ141" s="493"/>
      <c r="AK141" s="493"/>
      <c r="AL141" s="493"/>
      <c r="AM141" s="493"/>
      <c r="AN141" s="493"/>
      <c r="AO141" s="493"/>
      <c r="AP141" s="498"/>
      <c r="AQ141" s="493"/>
      <c r="AR141" s="493"/>
      <c r="AS141" s="493"/>
      <c r="AT141" s="493"/>
      <c r="AU141" s="493"/>
      <c r="AV141" s="493"/>
      <c r="AW141" s="493"/>
      <c r="AX141" s="498"/>
      <c r="AY141" s="493"/>
      <c r="AZ141" s="493"/>
      <c r="BA141" s="493"/>
      <c r="BB141" s="493"/>
      <c r="BC141" s="493"/>
      <c r="BD141" s="493"/>
      <c r="BE141" s="496"/>
      <c r="BF141" s="497"/>
      <c r="BG141" s="496"/>
      <c r="BH141" s="496"/>
      <c r="BI141" s="496"/>
      <c r="BJ141" s="496"/>
      <c r="BK141" s="496"/>
      <c r="BL141" s="496"/>
    </row>
    <row r="142" spans="1:64" s="55" customFormat="1" ht="8.1" customHeight="1">
      <c r="I142" s="493"/>
      <c r="J142" s="498"/>
      <c r="K142" s="493"/>
      <c r="L142" s="493"/>
      <c r="M142" s="493"/>
      <c r="N142" s="493"/>
      <c r="O142" s="493"/>
      <c r="P142" s="493"/>
      <c r="Q142" s="493"/>
      <c r="R142" s="492"/>
      <c r="S142" s="493"/>
      <c r="T142" s="493"/>
      <c r="U142" s="493"/>
      <c r="V142" s="493"/>
      <c r="W142" s="493"/>
      <c r="X142" s="493"/>
      <c r="Y142" s="493"/>
      <c r="Z142" s="498"/>
      <c r="AA142" s="493"/>
      <c r="AB142" s="493"/>
      <c r="AC142" s="493"/>
      <c r="AD142" s="493"/>
      <c r="AE142" s="493"/>
      <c r="AF142" s="493"/>
      <c r="AG142" s="493"/>
      <c r="AH142" s="498"/>
      <c r="AI142" s="493"/>
      <c r="AJ142" s="493"/>
      <c r="AK142" s="493"/>
      <c r="AL142" s="493"/>
      <c r="AM142" s="493"/>
      <c r="AN142" s="493"/>
      <c r="AO142" s="493"/>
      <c r="AP142" s="498"/>
      <c r="AQ142" s="493"/>
      <c r="AR142" s="493"/>
      <c r="AS142" s="493"/>
      <c r="AT142" s="493"/>
      <c r="AU142" s="493"/>
      <c r="AV142" s="493"/>
      <c r="AW142" s="493"/>
      <c r="AX142" s="498"/>
      <c r="AY142" s="493"/>
      <c r="AZ142" s="493"/>
      <c r="BA142" s="493"/>
      <c r="BB142" s="493"/>
      <c r="BC142" s="493"/>
      <c r="BD142" s="493"/>
      <c r="BE142" s="496"/>
      <c r="BF142" s="497"/>
      <c r="BG142" s="496"/>
      <c r="BH142" s="496"/>
      <c r="BI142" s="496"/>
      <c r="BJ142" s="496"/>
      <c r="BK142" s="496"/>
      <c r="BL142" s="496"/>
    </row>
    <row r="143" spans="1:64" s="55" customFormat="1" ht="8.1" customHeight="1">
      <c r="A143" s="370"/>
      <c r="I143" s="493"/>
      <c r="J143" s="498"/>
      <c r="K143" s="493"/>
      <c r="L143" s="493"/>
      <c r="M143" s="493"/>
      <c r="N143" s="493"/>
      <c r="O143" s="493"/>
      <c r="P143" s="493"/>
      <c r="Q143" s="493"/>
      <c r="R143" s="492"/>
      <c r="S143" s="493"/>
      <c r="T143" s="493"/>
      <c r="U143" s="493"/>
      <c r="V143" s="493"/>
      <c r="W143" s="493"/>
      <c r="X143" s="493"/>
      <c r="Y143" s="493"/>
      <c r="Z143" s="498"/>
      <c r="AA143" s="493"/>
      <c r="AB143" s="493"/>
      <c r="AC143" s="493"/>
      <c r="AD143" s="493"/>
      <c r="AE143" s="493"/>
      <c r="AF143" s="493"/>
      <c r="AG143" s="493"/>
      <c r="AH143" s="498"/>
      <c r="AI143" s="493"/>
      <c r="AJ143" s="493"/>
      <c r="AK143" s="493"/>
      <c r="AL143" s="493"/>
      <c r="AM143" s="493"/>
      <c r="AN143" s="493"/>
      <c r="AO143" s="493"/>
      <c r="AP143" s="498"/>
      <c r="AQ143" s="493"/>
      <c r="AR143" s="493"/>
      <c r="AS143" s="493"/>
      <c r="AT143" s="493"/>
      <c r="AU143" s="493"/>
      <c r="AV143" s="493"/>
      <c r="AW143" s="493"/>
      <c r="AX143" s="498"/>
      <c r="AY143" s="493"/>
      <c r="AZ143" s="493"/>
      <c r="BA143" s="493"/>
      <c r="BB143" s="493"/>
      <c r="BC143" s="493"/>
      <c r="BD143" s="493"/>
      <c r="BE143" s="496"/>
      <c r="BF143" s="497"/>
      <c r="BG143" s="496"/>
      <c r="BH143" s="496"/>
      <c r="BI143" s="496"/>
      <c r="BJ143" s="496"/>
      <c r="BK143" s="496"/>
      <c r="BL143" s="496"/>
    </row>
    <row r="144" spans="1:64" s="55" customFormat="1" ht="8.1" customHeight="1">
      <c r="I144" s="493"/>
      <c r="J144" s="498"/>
      <c r="K144" s="493"/>
      <c r="L144" s="493"/>
      <c r="M144" s="493"/>
      <c r="N144" s="493"/>
      <c r="O144" s="493"/>
      <c r="P144" s="493"/>
      <c r="Q144" s="493"/>
      <c r="R144" s="492"/>
      <c r="S144" s="493"/>
      <c r="T144" s="493"/>
      <c r="U144" s="493"/>
      <c r="V144" s="493"/>
      <c r="W144" s="493"/>
      <c r="X144" s="493"/>
      <c r="Y144" s="493"/>
      <c r="Z144" s="498"/>
      <c r="AA144" s="493"/>
      <c r="AB144" s="493"/>
      <c r="AC144" s="493"/>
      <c r="AD144" s="493"/>
      <c r="AE144" s="493"/>
      <c r="AF144" s="493"/>
      <c r="AG144" s="493"/>
      <c r="AH144" s="498"/>
      <c r="AI144" s="493"/>
      <c r="AJ144" s="493"/>
      <c r="AK144" s="493"/>
      <c r="AL144" s="493"/>
      <c r="AM144" s="493"/>
      <c r="AN144" s="493"/>
      <c r="AO144" s="493"/>
      <c r="AP144" s="498"/>
      <c r="AQ144" s="493"/>
      <c r="AR144" s="493"/>
      <c r="AS144" s="493"/>
      <c r="AT144" s="493"/>
      <c r="AU144" s="493"/>
      <c r="AV144" s="493"/>
      <c r="AW144" s="493"/>
      <c r="AX144" s="498"/>
      <c r="AY144" s="493"/>
      <c r="AZ144" s="493"/>
      <c r="BA144" s="493"/>
      <c r="BB144" s="493"/>
      <c r="BC144" s="493"/>
      <c r="BD144" s="493"/>
      <c r="BE144" s="493"/>
      <c r="BF144" s="498"/>
      <c r="BG144" s="493"/>
      <c r="BH144" s="493"/>
      <c r="BI144" s="493"/>
      <c r="BJ144" s="493"/>
      <c r="BK144" s="493"/>
      <c r="BL144" s="493"/>
    </row>
    <row r="145" spans="1:64" s="55" customFormat="1" ht="8.1" customHeight="1">
      <c r="I145" s="493"/>
      <c r="J145" s="498"/>
      <c r="K145" s="493"/>
      <c r="L145" s="493"/>
      <c r="M145" s="493"/>
      <c r="N145" s="493"/>
      <c r="O145" s="493"/>
      <c r="P145" s="493"/>
      <c r="Q145" s="493"/>
      <c r="R145" s="492"/>
      <c r="S145" s="493"/>
      <c r="T145" s="493"/>
      <c r="U145" s="493"/>
      <c r="V145" s="493"/>
      <c r="W145" s="493"/>
      <c r="X145" s="493"/>
      <c r="Y145" s="493"/>
      <c r="Z145" s="498"/>
      <c r="AA145" s="493"/>
      <c r="AB145" s="493"/>
      <c r="AC145" s="493"/>
      <c r="AD145" s="493"/>
      <c r="AE145" s="493"/>
      <c r="AF145" s="493"/>
      <c r="AG145" s="493"/>
      <c r="AH145" s="498"/>
      <c r="AI145" s="493"/>
      <c r="AJ145" s="493"/>
      <c r="AK145" s="493"/>
      <c r="AL145" s="493"/>
      <c r="AM145" s="493"/>
      <c r="AN145" s="493"/>
      <c r="AO145" s="493"/>
      <c r="AP145" s="498"/>
      <c r="AQ145" s="493"/>
      <c r="AR145" s="493"/>
      <c r="AS145" s="493"/>
      <c r="AT145" s="493"/>
      <c r="AU145" s="493"/>
      <c r="AV145" s="493"/>
      <c r="AW145" s="493"/>
      <c r="AX145" s="498"/>
      <c r="AY145" s="493"/>
      <c r="AZ145" s="493"/>
      <c r="BA145" s="493"/>
      <c r="BB145" s="493"/>
      <c r="BC145" s="493"/>
      <c r="BD145" s="493"/>
      <c r="BE145" s="493"/>
      <c r="BF145" s="498"/>
      <c r="BG145" s="493"/>
      <c r="BH145" s="493"/>
      <c r="BI145" s="493"/>
      <c r="BJ145" s="493"/>
      <c r="BK145" s="493"/>
      <c r="BL145" s="493"/>
    </row>
    <row r="146" spans="1:64" s="55" customFormat="1" ht="8.1" customHeight="1">
      <c r="I146" s="493"/>
      <c r="J146" s="498"/>
      <c r="K146" s="493"/>
      <c r="L146" s="493"/>
      <c r="M146" s="493"/>
      <c r="N146" s="493"/>
      <c r="O146" s="493"/>
      <c r="P146" s="493"/>
      <c r="Q146" s="493"/>
      <c r="R146" s="492"/>
      <c r="S146" s="493"/>
      <c r="T146" s="493"/>
      <c r="U146" s="493"/>
      <c r="V146" s="493"/>
      <c r="W146" s="493"/>
      <c r="X146" s="493"/>
      <c r="Y146" s="493"/>
      <c r="Z146" s="498"/>
      <c r="AA146" s="493"/>
      <c r="AB146" s="493"/>
      <c r="AC146" s="493"/>
      <c r="AD146" s="493"/>
      <c r="AE146" s="493"/>
      <c r="AF146" s="493"/>
      <c r="AG146" s="493"/>
      <c r="AH146" s="498"/>
      <c r="AI146" s="493"/>
      <c r="AJ146" s="493"/>
      <c r="AK146" s="493"/>
      <c r="AL146" s="493"/>
      <c r="AM146" s="493"/>
      <c r="AN146" s="493"/>
      <c r="AO146" s="493"/>
      <c r="AP146" s="498"/>
      <c r="AQ146" s="493"/>
      <c r="AR146" s="493"/>
      <c r="AS146" s="493"/>
      <c r="AT146" s="493"/>
      <c r="AU146" s="493"/>
      <c r="AV146" s="493"/>
      <c r="AW146" s="493"/>
      <c r="AX146" s="498"/>
      <c r="AY146" s="493"/>
      <c r="AZ146" s="493"/>
      <c r="BA146" s="493"/>
      <c r="BB146" s="493"/>
      <c r="BC146" s="493"/>
      <c r="BD146" s="493"/>
      <c r="BE146" s="493"/>
      <c r="BF146" s="498"/>
      <c r="BG146" s="493"/>
      <c r="BH146" s="493"/>
      <c r="BI146" s="493"/>
      <c r="BJ146" s="493"/>
      <c r="BK146" s="493"/>
      <c r="BL146" s="493"/>
    </row>
    <row r="147" spans="1:64" s="55" customFormat="1" ht="8.1" customHeight="1">
      <c r="I147" s="493"/>
      <c r="J147" s="498"/>
      <c r="K147" s="493"/>
      <c r="L147" s="493"/>
      <c r="M147" s="493"/>
      <c r="N147" s="493"/>
      <c r="O147" s="493"/>
      <c r="P147" s="493"/>
      <c r="Q147" s="493"/>
      <c r="R147" s="492"/>
      <c r="S147" s="493"/>
      <c r="T147" s="493"/>
      <c r="U147" s="493"/>
      <c r="V147" s="493"/>
      <c r="W147" s="493"/>
      <c r="X147" s="493"/>
      <c r="Y147" s="493"/>
      <c r="Z147" s="498"/>
      <c r="AA147" s="493"/>
      <c r="AB147" s="493"/>
      <c r="AC147" s="493"/>
      <c r="AD147" s="493"/>
      <c r="AE147" s="493"/>
      <c r="AF147" s="493"/>
      <c r="AG147" s="493"/>
      <c r="AH147" s="498"/>
      <c r="AI147" s="493"/>
      <c r="AJ147" s="493"/>
      <c r="AK147" s="493"/>
      <c r="AL147" s="493"/>
      <c r="AM147" s="493"/>
      <c r="AN147" s="493"/>
      <c r="AO147" s="493"/>
      <c r="AP147" s="498"/>
      <c r="AQ147" s="493"/>
      <c r="AR147" s="493"/>
      <c r="AS147" s="493"/>
      <c r="AT147" s="493"/>
      <c r="AU147" s="493"/>
      <c r="AV147" s="493"/>
      <c r="AW147" s="493"/>
      <c r="AX147" s="498"/>
      <c r="AY147" s="493"/>
      <c r="AZ147" s="493"/>
      <c r="BA147" s="493"/>
      <c r="BB147" s="493"/>
      <c r="BC147" s="493"/>
      <c r="BD147" s="493"/>
      <c r="BE147" s="493"/>
      <c r="BF147" s="498"/>
      <c r="BG147" s="493"/>
      <c r="BH147" s="493"/>
      <c r="BI147" s="493"/>
      <c r="BJ147" s="493"/>
      <c r="BK147" s="493"/>
      <c r="BL147" s="493"/>
    </row>
    <row r="148" spans="1:64" s="55" customFormat="1" ht="8.1" customHeight="1">
      <c r="A148" s="178"/>
      <c r="B148" s="13"/>
      <c r="C148" s="13"/>
      <c r="D148" s="177"/>
      <c r="E148" s="180"/>
      <c r="F148" s="177"/>
      <c r="G148" s="177"/>
      <c r="H148" s="177"/>
      <c r="I148" s="493"/>
      <c r="J148" s="498"/>
      <c r="K148" s="493"/>
      <c r="L148" s="493"/>
      <c r="M148" s="493"/>
      <c r="N148" s="493"/>
      <c r="O148" s="493"/>
      <c r="P148" s="493"/>
      <c r="Q148" s="493"/>
      <c r="R148" s="492"/>
      <c r="S148" s="493"/>
      <c r="T148" s="493"/>
      <c r="U148" s="493"/>
      <c r="V148" s="493"/>
      <c r="W148" s="493"/>
      <c r="X148" s="493"/>
      <c r="Y148" s="493"/>
      <c r="Z148" s="498"/>
      <c r="AA148" s="493"/>
      <c r="AB148" s="493"/>
      <c r="AC148" s="493"/>
      <c r="AD148" s="493"/>
      <c r="AE148" s="493"/>
      <c r="AF148" s="493"/>
      <c r="AG148" s="493"/>
      <c r="AH148" s="498"/>
      <c r="AI148" s="493"/>
      <c r="AJ148" s="493"/>
      <c r="AK148" s="493"/>
      <c r="AL148" s="493"/>
      <c r="AM148" s="493"/>
      <c r="AN148" s="493"/>
      <c r="AO148" s="493"/>
      <c r="AP148" s="498"/>
      <c r="AQ148" s="493"/>
      <c r="AR148" s="493"/>
      <c r="AS148" s="493"/>
      <c r="AT148" s="493"/>
      <c r="AU148" s="493"/>
      <c r="AV148" s="493"/>
      <c r="AW148" s="493"/>
      <c r="AX148" s="498"/>
      <c r="AY148" s="493"/>
      <c r="AZ148" s="493"/>
      <c r="BA148" s="493"/>
      <c r="BB148" s="493"/>
      <c r="BC148" s="493"/>
      <c r="BD148" s="493"/>
      <c r="BE148" s="493"/>
      <c r="BF148" s="498"/>
      <c r="BG148" s="493"/>
      <c r="BH148" s="493"/>
      <c r="BI148" s="493"/>
      <c r="BJ148" s="493"/>
      <c r="BK148" s="493"/>
      <c r="BL148" s="493"/>
    </row>
    <row r="149" spans="1:64" s="55" customFormat="1" ht="8.1" customHeight="1">
      <c r="A149" s="178"/>
      <c r="B149" s="13"/>
      <c r="C149" s="13"/>
      <c r="D149" s="177"/>
      <c r="E149" s="180"/>
      <c r="F149" s="177"/>
      <c r="G149" s="177"/>
      <c r="H149" s="177"/>
      <c r="I149" s="493"/>
      <c r="J149" s="498"/>
      <c r="K149" s="493"/>
      <c r="L149" s="493"/>
      <c r="M149" s="493"/>
      <c r="N149" s="493"/>
      <c r="O149" s="493"/>
      <c r="P149" s="493"/>
      <c r="Q149" s="493"/>
      <c r="R149" s="492"/>
      <c r="S149" s="493"/>
      <c r="T149" s="493"/>
      <c r="U149" s="493"/>
      <c r="V149" s="493"/>
      <c r="W149" s="493"/>
      <c r="X149" s="493"/>
      <c r="Y149" s="493"/>
      <c r="Z149" s="498"/>
      <c r="AA149" s="493"/>
      <c r="AB149" s="493"/>
      <c r="AC149" s="493"/>
      <c r="AD149" s="493"/>
      <c r="AE149" s="493"/>
      <c r="AF149" s="493"/>
      <c r="AG149" s="493"/>
      <c r="AH149" s="498"/>
      <c r="AI149" s="493"/>
      <c r="AJ149" s="493"/>
      <c r="AK149" s="493"/>
      <c r="AL149" s="493"/>
      <c r="AM149" s="493"/>
      <c r="AN149" s="493"/>
      <c r="AO149" s="493"/>
      <c r="AP149" s="498"/>
      <c r="AQ149" s="493"/>
      <c r="AR149" s="493"/>
      <c r="AS149" s="493"/>
      <c r="AT149" s="493"/>
      <c r="AU149" s="493"/>
      <c r="AV149" s="493"/>
      <c r="AW149" s="493"/>
      <c r="AX149" s="498"/>
      <c r="AY149" s="493"/>
      <c r="AZ149" s="493"/>
      <c r="BA149" s="493"/>
      <c r="BB149" s="493"/>
      <c r="BC149" s="493"/>
      <c r="BD149" s="493"/>
      <c r="BE149" s="493"/>
      <c r="BF149" s="498"/>
      <c r="BG149" s="493"/>
      <c r="BH149" s="493"/>
      <c r="BI149" s="493"/>
      <c r="BJ149" s="493"/>
      <c r="BK149" s="493"/>
      <c r="BL149" s="493"/>
    </row>
    <row r="150" spans="1:64" s="55" customFormat="1" ht="8.1" customHeight="1">
      <c r="A150" s="178"/>
      <c r="B150" s="13"/>
      <c r="C150" s="13"/>
      <c r="D150" s="177"/>
      <c r="E150" s="180"/>
      <c r="F150" s="177"/>
      <c r="G150" s="177"/>
      <c r="H150" s="177"/>
      <c r="I150" s="493"/>
      <c r="J150" s="498"/>
      <c r="K150" s="493"/>
      <c r="L150" s="493"/>
      <c r="M150" s="493"/>
      <c r="N150" s="493"/>
      <c r="O150" s="493"/>
      <c r="P150" s="493"/>
      <c r="Q150" s="493"/>
      <c r="R150" s="492"/>
      <c r="S150" s="493"/>
      <c r="T150" s="493"/>
      <c r="U150" s="493"/>
      <c r="V150" s="493"/>
      <c r="W150" s="493"/>
      <c r="X150" s="493"/>
      <c r="Y150" s="493"/>
      <c r="Z150" s="498"/>
      <c r="AA150" s="493"/>
      <c r="AB150" s="493"/>
      <c r="AC150" s="493"/>
      <c r="AD150" s="493"/>
      <c r="AE150" s="493"/>
      <c r="AF150" s="493"/>
      <c r="AG150" s="493"/>
      <c r="AH150" s="498"/>
      <c r="AI150" s="493"/>
      <c r="AJ150" s="493"/>
      <c r="AK150" s="493"/>
      <c r="AL150" s="493"/>
      <c r="AM150" s="493"/>
      <c r="AN150" s="493"/>
      <c r="AO150" s="493"/>
      <c r="AP150" s="498"/>
      <c r="AQ150" s="493"/>
      <c r="AR150" s="493"/>
      <c r="AS150" s="493"/>
      <c r="AT150" s="493"/>
      <c r="AU150" s="493"/>
      <c r="AV150" s="493"/>
      <c r="AW150" s="493"/>
      <c r="AX150" s="498"/>
      <c r="AY150" s="493"/>
      <c r="AZ150" s="493"/>
      <c r="BA150" s="493"/>
      <c r="BB150" s="493"/>
      <c r="BC150" s="493"/>
      <c r="BD150" s="493"/>
      <c r="BE150" s="493"/>
      <c r="BF150" s="498"/>
      <c r="BG150" s="493"/>
      <c r="BH150" s="493"/>
      <c r="BI150" s="493"/>
      <c r="BJ150" s="493"/>
      <c r="BK150" s="493"/>
      <c r="BL150" s="493"/>
    </row>
    <row r="151" spans="1:64" s="55" customFormat="1" ht="10.15" customHeight="1">
      <c r="A151" s="178"/>
      <c r="B151" s="13"/>
      <c r="C151" s="13"/>
      <c r="D151" s="177"/>
      <c r="E151" s="180"/>
      <c r="F151" s="177"/>
      <c r="G151" s="177"/>
      <c r="H151" s="177"/>
      <c r="I151" s="493"/>
      <c r="J151" s="498"/>
      <c r="K151" s="493"/>
      <c r="L151" s="493"/>
      <c r="M151" s="493"/>
      <c r="N151" s="493"/>
      <c r="O151" s="493"/>
      <c r="P151" s="493"/>
      <c r="Q151" s="493"/>
      <c r="R151" s="492"/>
      <c r="S151" s="493"/>
      <c r="T151" s="493"/>
      <c r="U151" s="493"/>
      <c r="V151" s="493"/>
      <c r="W151" s="493"/>
      <c r="X151" s="493"/>
      <c r="Y151" s="493"/>
      <c r="Z151" s="498"/>
      <c r="AA151" s="493"/>
      <c r="AB151" s="493"/>
      <c r="AC151" s="493"/>
      <c r="AD151" s="493"/>
      <c r="AE151" s="493"/>
      <c r="AF151" s="493"/>
      <c r="AG151" s="493"/>
      <c r="AH151" s="498"/>
      <c r="AI151" s="493"/>
      <c r="AJ151" s="493"/>
      <c r="AK151" s="493"/>
      <c r="AL151" s="493"/>
      <c r="AM151" s="493"/>
      <c r="AN151" s="493"/>
      <c r="AO151" s="493"/>
      <c r="AP151" s="498"/>
      <c r="AQ151" s="493"/>
      <c r="AR151" s="493"/>
      <c r="AS151" s="493"/>
      <c r="AT151" s="493"/>
      <c r="AU151" s="493"/>
      <c r="AV151" s="493"/>
      <c r="AW151" s="493"/>
      <c r="AX151" s="498"/>
      <c r="AY151" s="493"/>
      <c r="AZ151" s="493"/>
      <c r="BA151" s="493"/>
      <c r="BB151" s="493"/>
      <c r="BC151" s="493"/>
      <c r="BD151" s="493"/>
      <c r="BE151" s="493"/>
      <c r="BF151" s="498"/>
      <c r="BG151" s="493"/>
      <c r="BH151" s="493"/>
      <c r="BI151" s="493"/>
      <c r="BJ151" s="493"/>
      <c r="BK151" s="493"/>
      <c r="BL151" s="493"/>
    </row>
    <row r="152" spans="1:64" s="55" customFormat="1" ht="10.15" customHeight="1">
      <c r="A152" s="178"/>
      <c r="B152" s="13"/>
      <c r="C152" s="13"/>
      <c r="D152" s="177"/>
      <c r="E152" s="180"/>
      <c r="F152" s="177"/>
      <c r="G152" s="177"/>
      <c r="H152" s="177"/>
      <c r="I152" s="493"/>
      <c r="J152" s="498"/>
      <c r="K152" s="493"/>
      <c r="L152" s="493"/>
      <c r="M152" s="493"/>
      <c r="N152" s="493"/>
      <c r="O152" s="493"/>
      <c r="P152" s="493"/>
      <c r="Q152" s="493"/>
      <c r="R152" s="492"/>
      <c r="S152" s="493"/>
      <c r="T152" s="493"/>
      <c r="U152" s="493"/>
      <c r="V152" s="493"/>
      <c r="W152" s="493"/>
      <c r="X152" s="493"/>
      <c r="Y152" s="493"/>
      <c r="Z152" s="498"/>
      <c r="AA152" s="493"/>
      <c r="AB152" s="493"/>
      <c r="AC152" s="493"/>
      <c r="AD152" s="493"/>
      <c r="AE152" s="493"/>
      <c r="AF152" s="493"/>
      <c r="AG152" s="493"/>
      <c r="AH152" s="498"/>
      <c r="AI152" s="493"/>
      <c r="AJ152" s="493"/>
      <c r="AK152" s="493"/>
      <c r="AL152" s="493"/>
      <c r="AM152" s="493"/>
      <c r="AN152" s="493"/>
      <c r="AO152" s="493"/>
      <c r="AP152" s="498"/>
      <c r="AQ152" s="493"/>
      <c r="AR152" s="493"/>
      <c r="AS152" s="493"/>
      <c r="AT152" s="493"/>
      <c r="AU152" s="493"/>
      <c r="AV152" s="493"/>
      <c r="AW152" s="493"/>
      <c r="AX152" s="498"/>
      <c r="AY152" s="493"/>
      <c r="AZ152" s="493"/>
      <c r="BA152" s="493"/>
      <c r="BB152" s="493"/>
      <c r="BC152" s="493"/>
      <c r="BD152" s="493"/>
      <c r="BE152" s="493"/>
      <c r="BF152" s="498"/>
      <c r="BG152" s="493"/>
      <c r="BH152" s="493"/>
      <c r="BI152" s="493"/>
      <c r="BJ152" s="493"/>
      <c r="BK152" s="493"/>
      <c r="BL152" s="493"/>
    </row>
    <row r="153" spans="1:64" s="55" customFormat="1" ht="10.15" customHeight="1">
      <c r="A153" s="178"/>
      <c r="B153" s="13"/>
      <c r="C153" s="13"/>
      <c r="D153" s="177"/>
      <c r="E153" s="180"/>
      <c r="F153" s="177"/>
      <c r="G153" s="177"/>
      <c r="H153" s="177"/>
      <c r="I153" s="493"/>
      <c r="J153" s="498"/>
      <c r="K153" s="493"/>
      <c r="L153" s="493"/>
      <c r="M153" s="493"/>
      <c r="N153" s="493"/>
      <c r="O153" s="493"/>
      <c r="P153" s="493"/>
      <c r="Q153" s="493"/>
      <c r="R153" s="492"/>
      <c r="S153" s="493"/>
      <c r="T153" s="493"/>
      <c r="U153" s="493"/>
      <c r="V153" s="493"/>
      <c r="W153" s="493"/>
      <c r="X153" s="493"/>
      <c r="Y153" s="493"/>
      <c r="Z153" s="498"/>
      <c r="AA153" s="493"/>
      <c r="AB153" s="493"/>
      <c r="AC153" s="493"/>
      <c r="AD153" s="493"/>
      <c r="AE153" s="493"/>
      <c r="AF153" s="493"/>
      <c r="AG153" s="493"/>
      <c r="AH153" s="498"/>
      <c r="AI153" s="493"/>
      <c r="AJ153" s="493"/>
      <c r="AK153" s="493"/>
      <c r="AL153" s="493"/>
      <c r="AM153" s="493"/>
      <c r="AN153" s="493"/>
      <c r="AO153" s="493"/>
      <c r="AP153" s="498"/>
      <c r="AQ153" s="493"/>
      <c r="AR153" s="493"/>
      <c r="AS153" s="493"/>
      <c r="AT153" s="493"/>
      <c r="AU153" s="493"/>
      <c r="AV153" s="493"/>
      <c r="AW153" s="493"/>
      <c r="AX153" s="498"/>
      <c r="AY153" s="493"/>
      <c r="AZ153" s="493"/>
      <c r="BA153" s="493"/>
      <c r="BB153" s="493"/>
      <c r="BC153" s="493"/>
      <c r="BD153" s="493"/>
      <c r="BE153" s="493"/>
      <c r="BF153" s="498"/>
      <c r="BG153" s="493"/>
      <c r="BH153" s="493"/>
      <c r="BI153" s="493"/>
      <c r="BJ153" s="493"/>
      <c r="BK153" s="493"/>
      <c r="BL153" s="493"/>
    </row>
    <row r="154" spans="1:64" s="55" customFormat="1" ht="10.15" customHeight="1">
      <c r="A154" s="178"/>
      <c r="B154" s="13"/>
      <c r="C154" s="13"/>
      <c r="D154" s="177"/>
      <c r="E154" s="180"/>
      <c r="F154" s="177"/>
      <c r="G154" s="177"/>
      <c r="H154" s="177"/>
      <c r="I154" s="493"/>
      <c r="J154" s="498"/>
      <c r="K154" s="493"/>
      <c r="L154" s="493"/>
      <c r="M154" s="493"/>
      <c r="N154" s="493"/>
      <c r="O154" s="493"/>
      <c r="P154" s="493"/>
      <c r="Q154" s="493"/>
      <c r="R154" s="492"/>
      <c r="S154" s="493"/>
      <c r="T154" s="493"/>
      <c r="U154" s="493"/>
      <c r="V154" s="493"/>
      <c r="W154" s="493"/>
      <c r="X154" s="493"/>
      <c r="Y154" s="493"/>
      <c r="Z154" s="498"/>
      <c r="AA154" s="493"/>
      <c r="AB154" s="493"/>
      <c r="AC154" s="493"/>
      <c r="AD154" s="493"/>
      <c r="AE154" s="493"/>
      <c r="AF154" s="493"/>
      <c r="AG154" s="493"/>
      <c r="AH154" s="498"/>
      <c r="AI154" s="493"/>
      <c r="AJ154" s="493"/>
      <c r="AK154" s="493"/>
      <c r="AL154" s="493"/>
      <c r="AM154" s="493"/>
      <c r="AN154" s="493"/>
      <c r="AO154" s="493"/>
      <c r="AP154" s="498"/>
      <c r="AQ154" s="493"/>
      <c r="AR154" s="493"/>
      <c r="AS154" s="493"/>
      <c r="AT154" s="493"/>
      <c r="AU154" s="493"/>
      <c r="AV154" s="493"/>
      <c r="AW154" s="493"/>
      <c r="AX154" s="498"/>
      <c r="AY154" s="493"/>
      <c r="AZ154" s="493"/>
      <c r="BA154" s="493"/>
      <c r="BB154" s="493"/>
      <c r="BC154" s="493"/>
      <c r="BD154" s="493"/>
      <c r="BE154" s="493"/>
      <c r="BF154" s="498"/>
      <c r="BG154" s="493"/>
      <c r="BH154" s="493"/>
      <c r="BI154" s="493"/>
      <c r="BJ154" s="493"/>
      <c r="BK154" s="493"/>
      <c r="BL154" s="493"/>
    </row>
    <row r="155" spans="1:64" s="55" customFormat="1" ht="10.15" customHeight="1">
      <c r="A155" s="178"/>
      <c r="B155" s="13"/>
      <c r="C155" s="13"/>
      <c r="D155" s="177"/>
      <c r="E155" s="180"/>
      <c r="F155" s="177"/>
      <c r="G155" s="177"/>
      <c r="H155" s="177"/>
      <c r="I155" s="493"/>
      <c r="J155" s="498"/>
      <c r="K155" s="493"/>
      <c r="L155" s="493"/>
      <c r="M155" s="493"/>
      <c r="N155" s="493"/>
      <c r="O155" s="493"/>
      <c r="P155" s="493"/>
      <c r="Q155" s="493"/>
      <c r="R155" s="492"/>
      <c r="S155" s="493"/>
      <c r="T155" s="493"/>
      <c r="U155" s="493"/>
      <c r="V155" s="493"/>
      <c r="W155" s="493"/>
      <c r="X155" s="493"/>
      <c r="Y155" s="493"/>
      <c r="Z155" s="498"/>
      <c r="AA155" s="493"/>
      <c r="AB155" s="493"/>
      <c r="AC155" s="493"/>
      <c r="AD155" s="493"/>
      <c r="AE155" s="493"/>
      <c r="AF155" s="493"/>
      <c r="AG155" s="493"/>
      <c r="AH155" s="498"/>
      <c r="AI155" s="493"/>
      <c r="AJ155" s="493"/>
      <c r="AK155" s="493"/>
      <c r="AL155" s="493"/>
      <c r="AM155" s="493"/>
      <c r="AN155" s="493"/>
      <c r="AO155" s="493"/>
      <c r="AP155" s="498"/>
      <c r="AQ155" s="493"/>
      <c r="AR155" s="493"/>
      <c r="AS155" s="493"/>
      <c r="AT155" s="493"/>
      <c r="AU155" s="493"/>
      <c r="AV155" s="493"/>
      <c r="AW155" s="503"/>
      <c r="AX155" s="498"/>
      <c r="AY155" s="493"/>
      <c r="AZ155" s="493"/>
      <c r="BA155" s="493"/>
      <c r="BB155" s="493"/>
      <c r="BC155" s="493"/>
      <c r="BD155" s="493"/>
      <c r="BE155" s="493"/>
      <c r="BF155" s="498"/>
      <c r="BG155" s="493"/>
      <c r="BH155" s="493"/>
      <c r="BI155" s="493"/>
      <c r="BJ155" s="493"/>
      <c r="BK155" s="493"/>
      <c r="BL155" s="493"/>
    </row>
    <row r="156" spans="1:64" s="55" customFormat="1" ht="10.15" customHeight="1">
      <c r="A156" s="178"/>
      <c r="B156" s="13"/>
      <c r="C156" s="13"/>
      <c r="D156" s="177"/>
      <c r="E156" s="180"/>
      <c r="F156" s="177"/>
      <c r="G156" s="177"/>
      <c r="H156" s="177"/>
      <c r="I156" s="493"/>
      <c r="J156" s="498"/>
      <c r="K156" s="493"/>
      <c r="L156" s="493"/>
      <c r="M156" s="493"/>
      <c r="N156" s="493"/>
      <c r="O156" s="493"/>
      <c r="P156" s="493"/>
      <c r="Q156" s="493"/>
      <c r="R156" s="492"/>
      <c r="S156" s="493"/>
      <c r="T156" s="493"/>
      <c r="U156" s="493"/>
      <c r="V156" s="493"/>
      <c r="W156" s="493"/>
      <c r="X156" s="493"/>
      <c r="Y156" s="493"/>
      <c r="Z156" s="498"/>
      <c r="AA156" s="493"/>
      <c r="AB156" s="493"/>
      <c r="AC156" s="493"/>
      <c r="AD156" s="493"/>
      <c r="AE156" s="493"/>
      <c r="AF156" s="493"/>
      <c r="AG156" s="493"/>
      <c r="AH156" s="498"/>
      <c r="AI156" s="493"/>
      <c r="AJ156" s="493"/>
      <c r="AK156" s="493"/>
      <c r="AL156" s="493"/>
      <c r="AM156" s="493"/>
      <c r="AN156" s="493"/>
      <c r="AO156" s="493"/>
      <c r="AP156" s="498"/>
      <c r="AQ156" s="493"/>
      <c r="AR156" s="493"/>
      <c r="AS156" s="493"/>
      <c r="AT156" s="493"/>
      <c r="AU156" s="493"/>
      <c r="AV156" s="493"/>
      <c r="AW156" s="503"/>
      <c r="AX156" s="504"/>
      <c r="AY156" s="503"/>
      <c r="AZ156" s="503"/>
      <c r="BA156" s="503"/>
      <c r="BB156" s="503"/>
      <c r="BC156" s="503"/>
      <c r="BD156" s="503"/>
      <c r="BE156" s="493"/>
      <c r="BF156" s="498"/>
      <c r="BG156" s="493"/>
      <c r="BH156" s="493"/>
      <c r="BI156" s="493"/>
      <c r="BJ156" s="493"/>
      <c r="BK156" s="493"/>
      <c r="BL156" s="493"/>
    </row>
    <row r="157" spans="1:64" s="130" customFormat="1" ht="10.15" customHeight="1">
      <c r="A157" s="296"/>
      <c r="B157" s="13"/>
      <c r="C157" s="280"/>
      <c r="D157" s="294"/>
      <c r="E157" s="295"/>
      <c r="F157" s="294"/>
      <c r="G157" s="177"/>
      <c r="H157" s="294"/>
      <c r="I157" s="503"/>
      <c r="J157" s="504"/>
      <c r="K157" s="503"/>
      <c r="L157" s="503"/>
      <c r="M157" s="503"/>
      <c r="N157" s="503"/>
      <c r="O157" s="503"/>
      <c r="P157" s="503"/>
      <c r="Q157" s="503"/>
      <c r="R157" s="492"/>
      <c r="S157" s="503"/>
      <c r="T157" s="503"/>
      <c r="U157" s="503"/>
      <c r="V157" s="503"/>
      <c r="W157" s="493"/>
      <c r="X157" s="503"/>
      <c r="Y157" s="503"/>
      <c r="Z157" s="504"/>
      <c r="AA157" s="503"/>
      <c r="AB157" s="503"/>
      <c r="AC157" s="503"/>
      <c r="AD157" s="503"/>
      <c r="AE157" s="503"/>
      <c r="AF157" s="503"/>
      <c r="AG157" s="503"/>
      <c r="AH157" s="504"/>
      <c r="AI157" s="503"/>
      <c r="AJ157" s="503"/>
      <c r="AK157" s="503"/>
      <c r="AL157" s="503"/>
      <c r="AM157" s="503"/>
      <c r="AN157" s="503"/>
      <c r="AO157" s="503"/>
      <c r="AP157" s="504"/>
      <c r="AQ157" s="503"/>
      <c r="AR157" s="503"/>
      <c r="AS157" s="503"/>
      <c r="AT157" s="503"/>
      <c r="AU157" s="503"/>
      <c r="AV157" s="503"/>
      <c r="AW157" s="503"/>
      <c r="AX157" s="504"/>
      <c r="AY157" s="503"/>
      <c r="AZ157" s="503"/>
      <c r="BA157" s="503"/>
      <c r="BB157" s="503"/>
      <c r="BC157" s="503"/>
      <c r="BD157" s="503"/>
      <c r="BE157" s="493"/>
      <c r="BF157" s="498"/>
      <c r="BG157" s="493"/>
      <c r="BH157" s="493"/>
      <c r="BI157" s="493"/>
      <c r="BJ157" s="493"/>
      <c r="BK157" s="493"/>
      <c r="BL157" s="493"/>
    </row>
    <row r="158" spans="1:64" s="130" customFormat="1" ht="10.15" customHeight="1">
      <c r="A158" s="296"/>
      <c r="B158" s="13"/>
      <c r="C158" s="280"/>
      <c r="D158" s="294"/>
      <c r="E158" s="295"/>
      <c r="F158" s="294"/>
      <c r="G158" s="177"/>
      <c r="H158" s="294"/>
      <c r="I158" s="503"/>
      <c r="J158" s="504"/>
      <c r="K158" s="503"/>
      <c r="L158" s="503"/>
      <c r="M158" s="503"/>
      <c r="N158" s="503"/>
      <c r="O158" s="503"/>
      <c r="P158" s="503"/>
      <c r="Q158" s="503"/>
      <c r="R158" s="492"/>
      <c r="S158" s="503"/>
      <c r="T158" s="503"/>
      <c r="U158" s="503"/>
      <c r="V158" s="503"/>
      <c r="W158" s="493"/>
      <c r="X158" s="503"/>
      <c r="Y158" s="503"/>
      <c r="Z158" s="504"/>
      <c r="AA158" s="503"/>
      <c r="AB158" s="503"/>
      <c r="AC158" s="503"/>
      <c r="AD158" s="503"/>
      <c r="AE158" s="503"/>
      <c r="AF158" s="503"/>
      <c r="AG158" s="503"/>
      <c r="AH158" s="504"/>
      <c r="AI158" s="503"/>
      <c r="AJ158" s="503"/>
      <c r="AK158" s="503"/>
      <c r="AL158" s="503"/>
      <c r="AM158" s="503"/>
      <c r="AN158" s="503"/>
      <c r="AO158" s="503"/>
      <c r="AP158" s="504"/>
      <c r="AQ158" s="503"/>
      <c r="AR158" s="503"/>
      <c r="AS158" s="503"/>
      <c r="AT158" s="503"/>
      <c r="AU158" s="503"/>
      <c r="AV158" s="503"/>
      <c r="AW158" s="503"/>
      <c r="AX158" s="504"/>
      <c r="AY158" s="503"/>
      <c r="AZ158" s="503"/>
      <c r="BA158" s="503"/>
      <c r="BB158" s="503"/>
      <c r="BC158" s="503"/>
      <c r="BD158" s="503"/>
      <c r="BE158" s="493"/>
      <c r="BF158" s="498"/>
      <c r="BG158" s="493"/>
      <c r="BH158" s="493"/>
      <c r="BI158" s="493"/>
      <c r="BJ158" s="493"/>
      <c r="BK158" s="493"/>
      <c r="BL158" s="493"/>
    </row>
    <row r="159" spans="1:64" s="130" customFormat="1" ht="10.15" customHeight="1">
      <c r="A159" s="296"/>
      <c r="B159" s="13"/>
      <c r="C159" s="280"/>
      <c r="D159" s="294"/>
      <c r="E159" s="295"/>
      <c r="F159" s="294"/>
      <c r="G159" s="177"/>
      <c r="H159" s="294"/>
      <c r="I159" s="503"/>
      <c r="J159" s="504"/>
      <c r="K159" s="503"/>
      <c r="L159" s="503"/>
      <c r="M159" s="503"/>
      <c r="N159" s="503"/>
      <c r="O159" s="503"/>
      <c r="P159" s="503"/>
      <c r="Q159" s="503"/>
      <c r="R159" s="492"/>
      <c r="S159" s="503"/>
      <c r="T159" s="503"/>
      <c r="U159" s="503"/>
      <c r="V159" s="503"/>
      <c r="W159" s="493"/>
      <c r="X159" s="503"/>
      <c r="Y159" s="503"/>
      <c r="Z159" s="504"/>
      <c r="AA159" s="503"/>
      <c r="AB159" s="503"/>
      <c r="AC159" s="503"/>
      <c r="AD159" s="503"/>
      <c r="AE159" s="503"/>
      <c r="AF159" s="503"/>
      <c r="AG159" s="503"/>
      <c r="AH159" s="504"/>
      <c r="AI159" s="503"/>
      <c r="AJ159" s="503"/>
      <c r="AK159" s="503"/>
      <c r="AL159" s="503"/>
      <c r="AM159" s="503"/>
      <c r="AN159" s="503"/>
      <c r="AO159" s="503"/>
      <c r="AP159" s="504"/>
      <c r="AQ159" s="503"/>
      <c r="AR159" s="503"/>
      <c r="AS159" s="503"/>
      <c r="AT159" s="503"/>
      <c r="AU159" s="503"/>
      <c r="AV159" s="503"/>
      <c r="AW159" s="503"/>
      <c r="AX159" s="504"/>
      <c r="AY159" s="503"/>
      <c r="AZ159" s="503"/>
      <c r="BA159" s="503"/>
      <c r="BB159" s="503"/>
      <c r="BC159" s="503"/>
      <c r="BD159" s="503"/>
      <c r="BE159" s="493"/>
      <c r="BF159" s="498"/>
      <c r="BG159" s="493"/>
      <c r="BH159" s="493"/>
      <c r="BI159" s="493"/>
      <c r="BJ159" s="493"/>
      <c r="BK159" s="493"/>
      <c r="BL159" s="493"/>
    </row>
    <row r="160" spans="1:64" s="130" customFormat="1" ht="10.15" customHeight="1">
      <c r="A160" s="296"/>
      <c r="B160" s="13"/>
      <c r="C160" s="280"/>
      <c r="D160" s="294"/>
      <c r="E160" s="295"/>
      <c r="F160" s="294"/>
      <c r="G160" s="177"/>
      <c r="H160" s="294"/>
      <c r="I160" s="503"/>
      <c r="J160" s="504"/>
      <c r="K160" s="503"/>
      <c r="L160" s="503"/>
      <c r="M160" s="503"/>
      <c r="N160" s="503"/>
      <c r="O160" s="503"/>
      <c r="P160" s="503"/>
      <c r="Q160" s="503"/>
      <c r="R160" s="492"/>
      <c r="S160" s="503"/>
      <c r="T160" s="503"/>
      <c r="U160" s="503"/>
      <c r="V160" s="503"/>
      <c r="W160" s="493"/>
      <c r="X160" s="503"/>
      <c r="Y160" s="503"/>
      <c r="Z160" s="504"/>
      <c r="AA160" s="503"/>
      <c r="AB160" s="503"/>
      <c r="AC160" s="503"/>
      <c r="AD160" s="503"/>
      <c r="AE160" s="503"/>
      <c r="AF160" s="503"/>
      <c r="AG160" s="503"/>
      <c r="AH160" s="504"/>
      <c r="AI160" s="503"/>
      <c r="AJ160" s="503"/>
      <c r="AK160" s="503"/>
      <c r="AL160" s="503"/>
      <c r="AM160" s="503"/>
      <c r="AN160" s="503"/>
      <c r="AO160" s="503"/>
      <c r="AP160" s="504"/>
      <c r="AQ160" s="503"/>
      <c r="AR160" s="503"/>
      <c r="AS160" s="503"/>
      <c r="AT160" s="503"/>
      <c r="AU160" s="503"/>
      <c r="AV160" s="503"/>
      <c r="AW160" s="503"/>
      <c r="AX160" s="504"/>
      <c r="AY160" s="503"/>
      <c r="AZ160" s="503"/>
      <c r="BA160" s="503"/>
      <c r="BB160" s="503"/>
      <c r="BC160" s="503"/>
      <c r="BD160" s="503"/>
      <c r="BE160" s="493"/>
      <c r="BF160" s="498"/>
      <c r="BG160" s="493"/>
      <c r="BH160" s="493"/>
      <c r="BI160" s="493"/>
      <c r="BJ160" s="493"/>
      <c r="BK160" s="493"/>
      <c r="BL160" s="493"/>
    </row>
    <row r="161" spans="1:64" s="130" customFormat="1" ht="10.15" customHeight="1">
      <c r="A161" s="296"/>
      <c r="B161" s="13"/>
      <c r="C161" s="280"/>
      <c r="D161" s="294"/>
      <c r="E161" s="295"/>
      <c r="F161" s="294"/>
      <c r="G161" s="177"/>
      <c r="H161" s="294"/>
      <c r="I161" s="503"/>
      <c r="J161" s="504"/>
      <c r="K161" s="503"/>
      <c r="L161" s="503"/>
      <c r="M161" s="503"/>
      <c r="N161" s="503"/>
      <c r="O161" s="503"/>
      <c r="P161" s="503"/>
      <c r="Q161" s="503"/>
      <c r="R161" s="492"/>
      <c r="S161" s="503"/>
      <c r="T161" s="503"/>
      <c r="U161" s="503"/>
      <c r="V161" s="503"/>
      <c r="W161" s="493"/>
      <c r="X161" s="503"/>
      <c r="Y161" s="503"/>
      <c r="Z161" s="504"/>
      <c r="AA161" s="503"/>
      <c r="AB161" s="503"/>
      <c r="AC161" s="503"/>
      <c r="AD161" s="503"/>
      <c r="AE161" s="503"/>
      <c r="AF161" s="503"/>
      <c r="AG161" s="503"/>
      <c r="AH161" s="504"/>
      <c r="AI161" s="503"/>
      <c r="AJ161" s="503"/>
      <c r="AK161" s="503"/>
      <c r="AL161" s="503"/>
      <c r="AM161" s="503"/>
      <c r="AN161" s="503"/>
      <c r="AO161" s="503"/>
      <c r="AP161" s="504"/>
      <c r="AQ161" s="503"/>
      <c r="AR161" s="503"/>
      <c r="AS161" s="503"/>
      <c r="AT161" s="503"/>
      <c r="AU161" s="503"/>
      <c r="AV161" s="503"/>
      <c r="AW161" s="503"/>
      <c r="AX161" s="504"/>
      <c r="AY161" s="503"/>
      <c r="AZ161" s="503"/>
      <c r="BA161" s="503"/>
      <c r="BB161" s="503"/>
      <c r="BC161" s="503"/>
      <c r="BD161" s="503"/>
      <c r="BE161" s="503"/>
      <c r="BF161" s="504"/>
      <c r="BG161" s="503"/>
      <c r="BH161" s="503"/>
      <c r="BI161" s="503"/>
      <c r="BJ161" s="503"/>
      <c r="BK161" s="503"/>
      <c r="BL161" s="503"/>
    </row>
    <row r="162" spans="1:64" s="130" customFormat="1" ht="10.15" customHeight="1">
      <c r="A162" s="296"/>
      <c r="B162" s="55"/>
      <c r="G162" s="55"/>
      <c r="I162" s="503"/>
      <c r="J162" s="504"/>
      <c r="K162" s="503"/>
      <c r="L162" s="503"/>
      <c r="M162" s="503"/>
      <c r="N162" s="503"/>
      <c r="O162" s="503"/>
      <c r="P162" s="503"/>
      <c r="Q162" s="503"/>
      <c r="R162" s="492"/>
      <c r="S162" s="503"/>
      <c r="T162" s="503"/>
      <c r="U162" s="503"/>
      <c r="V162" s="503"/>
      <c r="W162" s="493"/>
      <c r="X162" s="503"/>
      <c r="Y162" s="503"/>
      <c r="Z162" s="504"/>
      <c r="AA162" s="503"/>
      <c r="AB162" s="503"/>
      <c r="AC162" s="503"/>
      <c r="AD162" s="503"/>
      <c r="AE162" s="503"/>
      <c r="AF162" s="503"/>
      <c r="AG162" s="503"/>
      <c r="AH162" s="504"/>
      <c r="AI162" s="503"/>
      <c r="AJ162" s="503"/>
      <c r="AK162" s="503"/>
      <c r="AL162" s="503"/>
      <c r="AM162" s="503"/>
      <c r="AN162" s="503"/>
      <c r="AO162" s="503"/>
      <c r="AP162" s="504"/>
      <c r="AQ162" s="503"/>
      <c r="AR162" s="503"/>
      <c r="AS162" s="503"/>
      <c r="AT162" s="503"/>
      <c r="AU162" s="503"/>
      <c r="AV162" s="503"/>
      <c r="AW162" s="503"/>
      <c r="AX162" s="504"/>
      <c r="AY162" s="503"/>
      <c r="AZ162" s="503"/>
      <c r="BA162" s="503"/>
      <c r="BB162" s="503"/>
      <c r="BC162" s="503"/>
      <c r="BD162" s="503"/>
      <c r="BE162" s="503"/>
      <c r="BF162" s="504"/>
      <c r="BG162" s="503"/>
      <c r="BH162" s="503"/>
      <c r="BI162" s="503"/>
      <c r="BJ162" s="503"/>
      <c r="BK162" s="503"/>
      <c r="BL162" s="503"/>
    </row>
    <row r="163" spans="1:64" s="130" customFormat="1" ht="10.15" customHeight="1">
      <c r="B163" s="55"/>
      <c r="G163" s="55"/>
      <c r="I163" s="503"/>
      <c r="J163" s="504"/>
      <c r="K163" s="503"/>
      <c r="L163" s="503"/>
      <c r="M163" s="503"/>
      <c r="N163" s="503"/>
      <c r="O163" s="503"/>
      <c r="P163" s="503"/>
      <c r="Q163" s="503"/>
      <c r="R163" s="492"/>
      <c r="S163" s="503"/>
      <c r="T163" s="503"/>
      <c r="U163" s="503"/>
      <c r="V163" s="503"/>
      <c r="W163" s="493"/>
      <c r="X163" s="503"/>
      <c r="Y163" s="503"/>
      <c r="Z163" s="504"/>
      <c r="AA163" s="503"/>
      <c r="AB163" s="503"/>
      <c r="AC163" s="503"/>
      <c r="AD163" s="503"/>
      <c r="AE163" s="503"/>
      <c r="AF163" s="503"/>
      <c r="AG163" s="503"/>
      <c r="AH163" s="504"/>
      <c r="AI163" s="503"/>
      <c r="AJ163" s="503"/>
      <c r="AK163" s="503"/>
      <c r="AL163" s="503"/>
      <c r="AM163" s="503"/>
      <c r="AN163" s="503"/>
      <c r="AO163" s="503"/>
      <c r="AP163" s="504"/>
      <c r="AQ163" s="503"/>
      <c r="AR163" s="503"/>
      <c r="AS163" s="503"/>
      <c r="AT163" s="503"/>
      <c r="AU163" s="503"/>
      <c r="AV163" s="503"/>
      <c r="AW163" s="503"/>
      <c r="AX163" s="504"/>
      <c r="AY163" s="503"/>
      <c r="AZ163" s="503"/>
      <c r="BA163" s="503"/>
      <c r="BB163" s="503"/>
      <c r="BC163" s="503"/>
      <c r="BD163" s="503"/>
      <c r="BE163" s="503"/>
      <c r="BF163" s="504"/>
      <c r="BG163" s="503"/>
      <c r="BH163" s="503"/>
      <c r="BI163" s="503"/>
      <c r="BJ163" s="503"/>
      <c r="BK163" s="503"/>
      <c r="BL163" s="503"/>
    </row>
    <row r="164" spans="1:64" s="130" customFormat="1" ht="10.15" customHeight="1">
      <c r="A164" s="296"/>
      <c r="B164" s="55"/>
      <c r="G164" s="55"/>
      <c r="I164" s="503"/>
      <c r="J164" s="504"/>
      <c r="K164" s="503"/>
      <c r="L164" s="503"/>
      <c r="M164" s="503"/>
      <c r="N164" s="503"/>
      <c r="O164" s="503"/>
      <c r="P164" s="503"/>
      <c r="Q164" s="503"/>
      <c r="R164" s="492"/>
      <c r="S164" s="503"/>
      <c r="T164" s="503"/>
      <c r="U164" s="503"/>
      <c r="V164" s="503"/>
      <c r="W164" s="493"/>
      <c r="X164" s="503"/>
      <c r="Y164" s="503"/>
      <c r="Z164" s="504"/>
      <c r="AA164" s="503"/>
      <c r="AB164" s="503"/>
      <c r="AC164" s="503"/>
      <c r="AD164" s="503"/>
      <c r="AE164" s="503"/>
      <c r="AF164" s="503"/>
      <c r="AG164" s="503"/>
      <c r="AH164" s="504"/>
      <c r="AI164" s="503"/>
      <c r="AJ164" s="503"/>
      <c r="AK164" s="503"/>
      <c r="AL164" s="503"/>
      <c r="AM164" s="503"/>
      <c r="AN164" s="503"/>
      <c r="AO164" s="503"/>
      <c r="AP164" s="504"/>
      <c r="AQ164" s="503"/>
      <c r="AR164" s="503"/>
      <c r="AS164" s="503"/>
      <c r="AT164" s="503"/>
      <c r="AU164" s="503"/>
      <c r="AV164" s="503"/>
      <c r="AW164" s="503"/>
      <c r="AX164" s="504"/>
      <c r="AY164" s="503"/>
      <c r="AZ164" s="503"/>
      <c r="BA164" s="503"/>
      <c r="BB164" s="503"/>
      <c r="BC164" s="503"/>
      <c r="BD164" s="503"/>
      <c r="BE164" s="503"/>
      <c r="BF164" s="504"/>
      <c r="BG164" s="503"/>
      <c r="BH164" s="503"/>
      <c r="BI164" s="503"/>
      <c r="BJ164" s="503"/>
      <c r="BK164" s="503"/>
      <c r="BL164" s="503"/>
    </row>
    <row r="165" spans="1:64" s="130" customFormat="1" ht="10.15" customHeight="1">
      <c r="A165" s="296"/>
      <c r="B165" s="55"/>
      <c r="G165" s="55"/>
      <c r="I165" s="503"/>
      <c r="J165" s="504"/>
      <c r="K165" s="503"/>
      <c r="L165" s="503"/>
      <c r="M165" s="503"/>
      <c r="N165" s="503"/>
      <c r="O165" s="503"/>
      <c r="P165" s="503"/>
      <c r="Q165" s="503"/>
      <c r="R165" s="492"/>
      <c r="S165" s="503"/>
      <c r="T165" s="503"/>
      <c r="U165" s="503"/>
      <c r="V165" s="503"/>
      <c r="W165" s="493"/>
      <c r="X165" s="503"/>
      <c r="Y165" s="503"/>
      <c r="Z165" s="504"/>
      <c r="AA165" s="503"/>
      <c r="AB165" s="503"/>
      <c r="AC165" s="503"/>
      <c r="AD165" s="503"/>
      <c r="AE165" s="503"/>
      <c r="AF165" s="503"/>
      <c r="AG165" s="503"/>
      <c r="AH165" s="504"/>
      <c r="AI165" s="503"/>
      <c r="AJ165" s="503"/>
      <c r="AK165" s="503"/>
      <c r="AL165" s="503"/>
      <c r="AM165" s="503"/>
      <c r="AN165" s="503"/>
      <c r="AO165" s="503"/>
      <c r="AP165" s="504"/>
      <c r="AQ165" s="503"/>
      <c r="AR165" s="503"/>
      <c r="AS165" s="503"/>
      <c r="AT165" s="503"/>
      <c r="AU165" s="503"/>
      <c r="AV165" s="503"/>
      <c r="AW165" s="503"/>
      <c r="AX165" s="504"/>
      <c r="AY165" s="503"/>
      <c r="AZ165" s="503"/>
      <c r="BA165" s="503"/>
      <c r="BB165" s="503"/>
      <c r="BC165" s="503"/>
      <c r="BD165" s="503"/>
      <c r="BE165" s="503"/>
      <c r="BF165" s="504"/>
      <c r="BG165" s="503"/>
      <c r="BH165" s="503"/>
      <c r="BI165" s="503"/>
      <c r="BJ165" s="503"/>
      <c r="BK165" s="503"/>
      <c r="BL165" s="503"/>
    </row>
    <row r="166" spans="1:64" s="130" customFormat="1" ht="10.15" customHeight="1">
      <c r="A166" s="297"/>
      <c r="B166" s="55"/>
      <c r="G166" s="55"/>
      <c r="I166" s="503"/>
      <c r="J166" s="504"/>
      <c r="K166" s="503"/>
      <c r="L166" s="503"/>
      <c r="M166" s="503"/>
      <c r="N166" s="503"/>
      <c r="O166" s="503"/>
      <c r="P166" s="503"/>
      <c r="Q166" s="503"/>
      <c r="R166" s="492"/>
      <c r="S166" s="503"/>
      <c r="T166" s="503"/>
      <c r="U166" s="503"/>
      <c r="V166" s="503"/>
      <c r="W166" s="493"/>
      <c r="X166" s="503"/>
      <c r="Y166" s="503"/>
      <c r="Z166" s="504"/>
      <c r="AA166" s="503"/>
      <c r="AB166" s="503"/>
      <c r="AC166" s="503"/>
      <c r="AD166" s="503"/>
      <c r="AE166" s="503"/>
      <c r="AF166" s="503"/>
      <c r="AG166" s="503"/>
      <c r="AH166" s="504"/>
      <c r="AI166" s="503"/>
      <c r="AJ166" s="503"/>
      <c r="AK166" s="503"/>
      <c r="AL166" s="503"/>
      <c r="AM166" s="503"/>
      <c r="AN166" s="503"/>
      <c r="AO166" s="503"/>
      <c r="AP166" s="504"/>
      <c r="AQ166" s="503"/>
      <c r="AR166" s="503"/>
      <c r="AS166" s="503"/>
      <c r="AT166" s="503"/>
      <c r="AU166" s="503"/>
      <c r="AV166" s="503"/>
      <c r="AW166" s="505"/>
      <c r="AX166" s="504"/>
      <c r="AY166" s="503"/>
      <c r="AZ166" s="503"/>
      <c r="BA166" s="503"/>
      <c r="BB166" s="503"/>
      <c r="BC166" s="503"/>
      <c r="BD166" s="503"/>
      <c r="BE166" s="503"/>
      <c r="BF166" s="504"/>
      <c r="BG166" s="503"/>
      <c r="BH166" s="503"/>
      <c r="BI166" s="503"/>
      <c r="BJ166" s="503"/>
      <c r="BK166" s="503"/>
      <c r="BL166" s="503"/>
    </row>
    <row r="167" spans="1:64" s="130" customFormat="1" ht="10.15" customHeight="1">
      <c r="A167" s="297"/>
      <c r="B167" s="55"/>
      <c r="G167" s="55"/>
      <c r="I167" s="503"/>
      <c r="J167" s="504"/>
      <c r="K167" s="503"/>
      <c r="L167" s="503"/>
      <c r="M167" s="503"/>
      <c r="N167" s="503"/>
      <c r="O167" s="503"/>
      <c r="P167" s="503"/>
      <c r="Q167" s="503"/>
      <c r="R167" s="492"/>
      <c r="S167" s="503"/>
      <c r="T167" s="503"/>
      <c r="U167" s="503"/>
      <c r="V167" s="503"/>
      <c r="W167" s="493"/>
      <c r="X167" s="503"/>
      <c r="Y167" s="503"/>
      <c r="Z167" s="504"/>
      <c r="AA167" s="503"/>
      <c r="AB167" s="503"/>
      <c r="AC167" s="503"/>
      <c r="AD167" s="503"/>
      <c r="AE167" s="503"/>
      <c r="AF167" s="503"/>
      <c r="AG167" s="503"/>
      <c r="AH167" s="504"/>
      <c r="AI167" s="503"/>
      <c r="AJ167" s="503"/>
      <c r="AK167" s="503"/>
      <c r="AL167" s="503"/>
      <c r="AM167" s="503"/>
      <c r="AN167" s="503"/>
      <c r="AO167" s="503"/>
      <c r="AP167" s="504"/>
      <c r="AQ167" s="503"/>
      <c r="AR167" s="503"/>
      <c r="AS167" s="503"/>
      <c r="AT167" s="503"/>
      <c r="AU167" s="503"/>
      <c r="AV167" s="503"/>
      <c r="AW167" s="503"/>
      <c r="AX167" s="506"/>
      <c r="AY167" s="505"/>
      <c r="AZ167" s="505"/>
      <c r="BA167" s="505"/>
      <c r="BB167" s="505"/>
      <c r="BC167" s="505"/>
      <c r="BD167" s="505"/>
      <c r="BE167" s="503"/>
      <c r="BF167" s="504"/>
      <c r="BG167" s="503"/>
      <c r="BH167" s="503"/>
      <c r="BI167" s="503"/>
      <c r="BJ167" s="503"/>
      <c r="BK167" s="503"/>
      <c r="BL167" s="503"/>
    </row>
    <row r="168" spans="1:64" s="297" customFormat="1" ht="10.15" customHeight="1">
      <c r="B168" s="63"/>
      <c r="G168" s="63"/>
      <c r="I168" s="505"/>
      <c r="J168" s="506"/>
      <c r="K168" s="505"/>
      <c r="L168" s="505"/>
      <c r="M168" s="505"/>
      <c r="N168" s="505"/>
      <c r="O168" s="505"/>
      <c r="P168" s="505"/>
      <c r="Q168" s="505"/>
      <c r="R168" s="491"/>
      <c r="S168" s="505"/>
      <c r="T168" s="505"/>
      <c r="U168" s="505"/>
      <c r="V168" s="505"/>
      <c r="W168" s="507"/>
      <c r="X168" s="505"/>
      <c r="Y168" s="505"/>
      <c r="Z168" s="506"/>
      <c r="AA168" s="505"/>
      <c r="AB168" s="505"/>
      <c r="AC168" s="505"/>
      <c r="AD168" s="505"/>
      <c r="AE168" s="505"/>
      <c r="AF168" s="505"/>
      <c r="AG168" s="505"/>
      <c r="AH168" s="506"/>
      <c r="AI168" s="505"/>
      <c r="AJ168" s="505"/>
      <c r="AK168" s="505"/>
      <c r="AL168" s="505"/>
      <c r="AM168" s="505"/>
      <c r="AN168" s="505"/>
      <c r="AO168" s="505"/>
      <c r="AP168" s="506"/>
      <c r="AQ168" s="505"/>
      <c r="AR168" s="505"/>
      <c r="AS168" s="505"/>
      <c r="AT168" s="505"/>
      <c r="AU168" s="505"/>
      <c r="AV168" s="505"/>
      <c r="AW168" s="505"/>
      <c r="AX168" s="504"/>
      <c r="AY168" s="503"/>
      <c r="AZ168" s="503"/>
      <c r="BA168" s="503"/>
      <c r="BB168" s="503"/>
      <c r="BC168" s="503"/>
      <c r="BD168" s="503"/>
      <c r="BE168" s="503"/>
      <c r="BF168" s="504"/>
      <c r="BG168" s="503"/>
      <c r="BH168" s="503"/>
      <c r="BI168" s="503"/>
      <c r="BJ168" s="503"/>
      <c r="BK168" s="503"/>
      <c r="BL168" s="503"/>
    </row>
    <row r="169" spans="1:64" s="130" customFormat="1" ht="10.15" customHeight="1">
      <c r="B169" s="55"/>
      <c r="G169" s="55"/>
      <c r="I169" s="503"/>
      <c r="J169" s="504"/>
      <c r="K169" s="503"/>
      <c r="L169" s="503"/>
      <c r="M169" s="503"/>
      <c r="N169" s="503"/>
      <c r="O169" s="503"/>
      <c r="P169" s="503"/>
      <c r="Q169" s="503"/>
      <c r="R169" s="492"/>
      <c r="S169" s="503"/>
      <c r="T169" s="503"/>
      <c r="U169" s="503"/>
      <c r="V169" s="503"/>
      <c r="W169" s="493"/>
      <c r="X169" s="503"/>
      <c r="Y169" s="503"/>
      <c r="Z169" s="504"/>
      <c r="AA169" s="503"/>
      <c r="AB169" s="503"/>
      <c r="AC169" s="503"/>
      <c r="AD169" s="503"/>
      <c r="AE169" s="503"/>
      <c r="AF169" s="503"/>
      <c r="AG169" s="503"/>
      <c r="AH169" s="504"/>
      <c r="AI169" s="503"/>
      <c r="AJ169" s="503"/>
      <c r="AK169" s="503"/>
      <c r="AL169" s="503"/>
      <c r="AM169" s="503"/>
      <c r="AN169" s="503"/>
      <c r="AO169" s="503"/>
      <c r="AP169" s="504"/>
      <c r="AQ169" s="503"/>
      <c r="AR169" s="503"/>
      <c r="AS169" s="503"/>
      <c r="AT169" s="503"/>
      <c r="AU169" s="503"/>
      <c r="AV169" s="503"/>
      <c r="AW169" s="503"/>
      <c r="AX169" s="506"/>
      <c r="AY169" s="505"/>
      <c r="AZ169" s="505"/>
      <c r="BA169" s="505"/>
      <c r="BB169" s="505"/>
      <c r="BC169" s="505"/>
      <c r="BD169" s="505"/>
      <c r="BE169" s="503"/>
      <c r="BF169" s="504"/>
      <c r="BG169" s="503"/>
      <c r="BH169" s="503"/>
      <c r="BI169" s="503"/>
      <c r="BJ169" s="503"/>
      <c r="BK169" s="503"/>
      <c r="BL169" s="503"/>
    </row>
    <row r="170" spans="1:64" s="297" customFormat="1" ht="10.15" customHeight="1">
      <c r="B170" s="63"/>
      <c r="G170" s="63"/>
      <c r="I170" s="505"/>
      <c r="J170" s="506"/>
      <c r="K170" s="505"/>
      <c r="L170" s="505"/>
      <c r="M170" s="505"/>
      <c r="N170" s="505"/>
      <c r="O170" s="505"/>
      <c r="P170" s="505"/>
      <c r="Q170" s="505"/>
      <c r="R170" s="491"/>
      <c r="S170" s="505"/>
      <c r="T170" s="505"/>
      <c r="U170" s="505"/>
      <c r="V170" s="505"/>
      <c r="W170" s="507"/>
      <c r="X170" s="505"/>
      <c r="Y170" s="505"/>
      <c r="Z170" s="506"/>
      <c r="AA170" s="505"/>
      <c r="AB170" s="505"/>
      <c r="AC170" s="505"/>
      <c r="AD170" s="505"/>
      <c r="AE170" s="505"/>
      <c r="AF170" s="505"/>
      <c r="AG170" s="505"/>
      <c r="AH170" s="506"/>
      <c r="AI170" s="505"/>
      <c r="AJ170" s="505"/>
      <c r="AK170" s="505"/>
      <c r="AL170" s="505"/>
      <c r="AM170" s="505"/>
      <c r="AN170" s="505"/>
      <c r="AO170" s="505"/>
      <c r="AP170" s="506"/>
      <c r="AQ170" s="505"/>
      <c r="AR170" s="505"/>
      <c r="AS170" s="505"/>
      <c r="AT170" s="505"/>
      <c r="AU170" s="505"/>
      <c r="AV170" s="505"/>
      <c r="AW170" s="503"/>
      <c r="AX170" s="504"/>
      <c r="AY170" s="503"/>
      <c r="AZ170" s="503"/>
      <c r="BA170" s="503"/>
      <c r="BB170" s="503"/>
      <c r="BC170" s="503"/>
      <c r="BD170" s="503"/>
      <c r="BE170" s="503"/>
      <c r="BF170" s="504"/>
      <c r="BG170" s="503"/>
      <c r="BH170" s="503"/>
      <c r="BI170" s="503"/>
      <c r="BJ170" s="503"/>
      <c r="BK170" s="503"/>
      <c r="BL170" s="503"/>
    </row>
    <row r="171" spans="1:64" s="130" customFormat="1" ht="10.15" customHeight="1">
      <c r="B171" s="55"/>
      <c r="G171" s="55"/>
      <c r="I171" s="503"/>
      <c r="J171" s="504"/>
      <c r="K171" s="503"/>
      <c r="L171" s="503"/>
      <c r="M171" s="503"/>
      <c r="N171" s="503"/>
      <c r="O171" s="503"/>
      <c r="P171" s="503"/>
      <c r="Q171" s="503"/>
      <c r="R171" s="492"/>
      <c r="S171" s="503"/>
      <c r="T171" s="503"/>
      <c r="U171" s="503"/>
      <c r="V171" s="503"/>
      <c r="W171" s="493"/>
      <c r="X171" s="503"/>
      <c r="Y171" s="503"/>
      <c r="Z171" s="504"/>
      <c r="AA171" s="503"/>
      <c r="AB171" s="503"/>
      <c r="AC171" s="503"/>
      <c r="AD171" s="503"/>
      <c r="AE171" s="503"/>
      <c r="AF171" s="503"/>
      <c r="AG171" s="503"/>
      <c r="AH171" s="504"/>
      <c r="AI171" s="503"/>
      <c r="AJ171" s="503"/>
      <c r="AK171" s="503"/>
      <c r="AL171" s="503"/>
      <c r="AM171" s="503"/>
      <c r="AN171" s="503"/>
      <c r="AO171" s="503"/>
      <c r="AP171" s="504"/>
      <c r="AQ171" s="503"/>
      <c r="AR171" s="503"/>
      <c r="AS171" s="503"/>
      <c r="AT171" s="503"/>
      <c r="AU171" s="503"/>
      <c r="AV171" s="503"/>
      <c r="AW171" s="503"/>
      <c r="AX171" s="504"/>
      <c r="AY171" s="503"/>
      <c r="AZ171" s="503"/>
      <c r="BA171" s="503"/>
      <c r="BB171" s="503"/>
      <c r="BC171" s="503"/>
      <c r="BD171" s="503"/>
      <c r="BE171" s="503"/>
      <c r="BF171" s="504"/>
      <c r="BG171" s="503"/>
      <c r="BH171" s="503"/>
      <c r="BI171" s="503"/>
      <c r="BJ171" s="503"/>
      <c r="BK171" s="503"/>
      <c r="BL171" s="503"/>
    </row>
    <row r="172" spans="1:64" s="130" customFormat="1" ht="10.15" customHeight="1">
      <c r="B172" s="55"/>
      <c r="D172" s="54"/>
      <c r="E172" s="54"/>
      <c r="G172" s="55"/>
      <c r="I172" s="503"/>
      <c r="J172" s="504"/>
      <c r="K172" s="503"/>
      <c r="L172" s="503"/>
      <c r="M172" s="503"/>
      <c r="N172" s="503"/>
      <c r="O172" s="503"/>
      <c r="P172" s="503"/>
      <c r="Q172" s="503"/>
      <c r="R172" s="492"/>
      <c r="S172" s="503"/>
      <c r="T172" s="503"/>
      <c r="U172" s="503"/>
      <c r="V172" s="503"/>
      <c r="W172" s="493"/>
      <c r="X172" s="503"/>
      <c r="Y172" s="503"/>
      <c r="Z172" s="504"/>
      <c r="AA172" s="503"/>
      <c r="AB172" s="503"/>
      <c r="AC172" s="503"/>
      <c r="AD172" s="503"/>
      <c r="AE172" s="503"/>
      <c r="AF172" s="503"/>
      <c r="AG172" s="503"/>
      <c r="AH172" s="504"/>
      <c r="AI172" s="503"/>
      <c r="AJ172" s="503"/>
      <c r="AK172" s="503"/>
      <c r="AL172" s="503"/>
      <c r="AM172" s="503"/>
      <c r="AN172" s="503"/>
      <c r="AO172" s="503"/>
      <c r="AP172" s="504"/>
      <c r="AQ172" s="503"/>
      <c r="AR172" s="503"/>
      <c r="AS172" s="503"/>
      <c r="AT172" s="503"/>
      <c r="AU172" s="503"/>
      <c r="AV172" s="503"/>
      <c r="AW172" s="503"/>
      <c r="AX172" s="504"/>
      <c r="AY172" s="503"/>
      <c r="AZ172" s="503"/>
      <c r="BA172" s="503"/>
      <c r="BB172" s="503"/>
      <c r="BC172" s="503"/>
      <c r="BD172" s="503"/>
      <c r="BE172" s="505"/>
      <c r="BF172" s="506"/>
      <c r="BG172" s="505"/>
      <c r="BH172" s="505"/>
      <c r="BI172" s="505"/>
      <c r="BJ172" s="505"/>
      <c r="BK172" s="505"/>
      <c r="BL172" s="505"/>
    </row>
    <row r="173" spans="1:64" s="130" customFormat="1" ht="10.15" customHeight="1">
      <c r="A173" s="297"/>
      <c r="B173" s="55"/>
      <c r="G173" s="55"/>
      <c r="I173" s="503"/>
      <c r="J173" s="504"/>
      <c r="K173" s="503"/>
      <c r="L173" s="503"/>
      <c r="M173" s="503"/>
      <c r="N173" s="503"/>
      <c r="O173" s="503"/>
      <c r="P173" s="503"/>
      <c r="Q173" s="503"/>
      <c r="R173" s="492"/>
      <c r="S173" s="503"/>
      <c r="T173" s="503"/>
      <c r="U173" s="503"/>
      <c r="V173" s="503"/>
      <c r="W173" s="493"/>
      <c r="X173" s="503"/>
      <c r="Y173" s="503"/>
      <c r="Z173" s="504"/>
      <c r="AA173" s="503"/>
      <c r="AB173" s="503"/>
      <c r="AC173" s="503"/>
      <c r="AD173" s="503"/>
      <c r="AE173" s="503"/>
      <c r="AF173" s="503"/>
      <c r="AG173" s="503"/>
      <c r="AH173" s="504"/>
      <c r="AI173" s="503"/>
      <c r="AJ173" s="503"/>
      <c r="AK173" s="503"/>
      <c r="AL173" s="503"/>
      <c r="AM173" s="503"/>
      <c r="AN173" s="503"/>
      <c r="AO173" s="503"/>
      <c r="AP173" s="504"/>
      <c r="AQ173" s="503"/>
      <c r="AR173" s="503"/>
      <c r="AS173" s="503"/>
      <c r="AT173" s="503"/>
      <c r="AU173" s="503"/>
      <c r="AV173" s="503"/>
      <c r="AW173" s="317"/>
      <c r="AX173" s="504"/>
      <c r="AY173" s="503"/>
      <c r="AZ173" s="503"/>
      <c r="BA173" s="503"/>
      <c r="BB173" s="503"/>
      <c r="BC173" s="503"/>
      <c r="BD173" s="503"/>
      <c r="BE173" s="503"/>
      <c r="BF173" s="504"/>
      <c r="BG173" s="503"/>
      <c r="BH173" s="503"/>
      <c r="BI173" s="503"/>
      <c r="BJ173" s="503"/>
      <c r="BK173" s="503"/>
      <c r="BL173" s="503"/>
    </row>
    <row r="174" spans="1:64" s="130" customFormat="1" ht="10.15" customHeight="1">
      <c r="B174" s="55"/>
      <c r="G174" s="55"/>
      <c r="I174" s="503"/>
      <c r="J174" s="504"/>
      <c r="K174" s="503"/>
      <c r="L174" s="503"/>
      <c r="M174" s="503"/>
      <c r="N174" s="503"/>
      <c r="O174" s="503"/>
      <c r="P174" s="503"/>
      <c r="Q174" s="503"/>
      <c r="R174" s="492"/>
      <c r="S174" s="503"/>
      <c r="T174" s="503"/>
      <c r="U174" s="503"/>
      <c r="V174" s="503"/>
      <c r="W174" s="493"/>
      <c r="X174" s="503"/>
      <c r="Y174" s="503"/>
      <c r="Z174" s="504"/>
      <c r="AA174" s="503"/>
      <c r="AB174" s="503"/>
      <c r="AC174" s="503"/>
      <c r="AD174" s="503"/>
      <c r="AE174" s="503"/>
      <c r="AF174" s="503"/>
      <c r="AG174" s="503"/>
      <c r="AH174" s="504"/>
      <c r="AI174" s="503"/>
      <c r="AJ174" s="503"/>
      <c r="AK174" s="503"/>
      <c r="AL174" s="503"/>
      <c r="AM174" s="503"/>
      <c r="AN174" s="503"/>
      <c r="AO174" s="503"/>
      <c r="AP174" s="504"/>
      <c r="AQ174" s="503"/>
      <c r="AR174" s="503"/>
      <c r="AS174" s="503"/>
      <c r="AT174" s="503"/>
      <c r="AU174" s="503"/>
      <c r="AV174" s="503"/>
      <c r="AW174" s="317"/>
      <c r="AX174" s="494"/>
      <c r="AY174" s="317"/>
      <c r="AZ174" s="317"/>
      <c r="BA174" s="317"/>
      <c r="BB174" s="317"/>
      <c r="BC174" s="317"/>
      <c r="BD174" s="317"/>
      <c r="BE174" s="505"/>
      <c r="BF174" s="506"/>
      <c r="BG174" s="505"/>
      <c r="BH174" s="505"/>
      <c r="BI174" s="505"/>
      <c r="BJ174" s="505"/>
      <c r="BK174" s="505"/>
      <c r="BL174" s="505"/>
    </row>
    <row r="175" spans="1:64" ht="10.15" customHeight="1">
      <c r="BE175" s="503"/>
      <c r="BF175" s="504"/>
      <c r="BG175" s="503"/>
      <c r="BH175" s="503"/>
      <c r="BI175" s="503"/>
      <c r="BJ175" s="503"/>
      <c r="BK175" s="503"/>
      <c r="BL175" s="503"/>
    </row>
    <row r="176" spans="1:64" ht="10.15" customHeight="1">
      <c r="BE176" s="503"/>
      <c r="BF176" s="504"/>
      <c r="BG176" s="503"/>
      <c r="BH176" s="503"/>
      <c r="BI176" s="503"/>
      <c r="BJ176" s="503"/>
      <c r="BK176" s="503"/>
      <c r="BL176" s="503"/>
    </row>
    <row r="177" spans="2:64" ht="10.15" customHeight="1">
      <c r="AW177" s="420"/>
      <c r="BE177" s="503"/>
      <c r="BF177" s="504"/>
      <c r="BG177" s="503"/>
      <c r="BH177" s="503"/>
      <c r="BI177" s="503"/>
      <c r="BJ177" s="503"/>
      <c r="BK177" s="503"/>
      <c r="BL177" s="503"/>
    </row>
    <row r="178" spans="2:64" ht="10.15" customHeight="1">
      <c r="Q178" s="470"/>
      <c r="R178" s="508"/>
      <c r="S178" s="449"/>
      <c r="AW178" s="420"/>
      <c r="AX178" s="492"/>
      <c r="AY178" s="420"/>
      <c r="AZ178" s="420"/>
      <c r="BA178" s="420"/>
      <c r="BB178" s="420"/>
      <c r="BC178" s="420"/>
      <c r="BD178" s="420"/>
      <c r="BE178" s="503"/>
      <c r="BF178" s="504"/>
      <c r="BG178" s="503"/>
      <c r="BH178" s="503"/>
      <c r="BI178" s="503"/>
      <c r="BJ178" s="503"/>
      <c r="BK178" s="503"/>
      <c r="BL178" s="503"/>
    </row>
    <row r="179" spans="2:64" s="47" customFormat="1" ht="10.15" customHeight="1">
      <c r="B179" s="55"/>
      <c r="G179" s="55"/>
      <c r="I179" s="420"/>
      <c r="J179" s="492"/>
      <c r="K179" s="420"/>
      <c r="L179" s="420"/>
      <c r="M179" s="420"/>
      <c r="N179" s="420"/>
      <c r="O179" s="420"/>
      <c r="P179" s="420"/>
      <c r="Q179" s="486"/>
      <c r="R179" s="492"/>
      <c r="S179" s="420"/>
      <c r="T179" s="420"/>
      <c r="U179" s="420"/>
      <c r="V179" s="420"/>
      <c r="W179" s="493"/>
      <c r="X179" s="420"/>
      <c r="Y179" s="420"/>
      <c r="Z179" s="492"/>
      <c r="AA179" s="420"/>
      <c r="AB179" s="420"/>
      <c r="AC179" s="420"/>
      <c r="AD179" s="420"/>
      <c r="AE179" s="420"/>
      <c r="AF179" s="420"/>
      <c r="AG179" s="420"/>
      <c r="AH179" s="492"/>
      <c r="AI179" s="420"/>
      <c r="AJ179" s="420"/>
      <c r="AK179" s="420"/>
      <c r="AL179" s="420"/>
      <c r="AM179" s="420"/>
      <c r="AN179" s="420"/>
      <c r="AO179" s="420"/>
      <c r="AP179" s="492"/>
      <c r="AQ179" s="420"/>
      <c r="AR179" s="420"/>
      <c r="AS179" s="420"/>
      <c r="AT179" s="420"/>
      <c r="AU179" s="420"/>
      <c r="AV179" s="420"/>
      <c r="AW179" s="420"/>
      <c r="AX179" s="492"/>
      <c r="AY179" s="420"/>
      <c r="AZ179" s="420"/>
      <c r="BA179" s="420"/>
      <c r="BB179" s="420"/>
      <c r="BC179" s="420"/>
      <c r="BD179" s="420"/>
      <c r="BE179" s="317"/>
      <c r="BF179" s="494"/>
      <c r="BG179" s="317"/>
      <c r="BH179" s="317"/>
      <c r="BI179" s="317"/>
      <c r="BJ179" s="317"/>
      <c r="BK179" s="317"/>
      <c r="BL179" s="317"/>
    </row>
    <row r="180" spans="2:64" s="47" customFormat="1" ht="9.9499999999999993" customHeight="1">
      <c r="B180" s="55"/>
      <c r="G180" s="55"/>
      <c r="I180" s="420"/>
      <c r="J180" s="492"/>
      <c r="K180" s="420"/>
      <c r="L180" s="420"/>
      <c r="M180" s="420"/>
      <c r="N180" s="420"/>
      <c r="O180" s="420"/>
      <c r="P180" s="420"/>
      <c r="Q180" s="486"/>
      <c r="R180" s="508"/>
      <c r="S180" s="479"/>
      <c r="T180" s="509"/>
      <c r="U180" s="510"/>
      <c r="V180" s="509"/>
      <c r="W180" s="472"/>
      <c r="X180" s="509"/>
      <c r="Y180" s="332"/>
      <c r="Z180" s="491"/>
      <c r="AA180" s="332"/>
      <c r="AB180" s="420"/>
      <c r="AC180" s="420"/>
      <c r="AD180" s="420"/>
      <c r="AE180" s="420"/>
      <c r="AF180" s="420"/>
      <c r="AG180" s="420"/>
      <c r="AH180" s="492"/>
      <c r="AI180" s="420"/>
      <c r="AJ180" s="420"/>
      <c r="AK180" s="420"/>
      <c r="AL180" s="420"/>
      <c r="AM180" s="420"/>
      <c r="AN180" s="420"/>
      <c r="AO180" s="420"/>
      <c r="AP180" s="492"/>
      <c r="AQ180" s="420"/>
      <c r="AR180" s="420"/>
      <c r="AS180" s="420"/>
      <c r="AT180" s="420"/>
      <c r="AU180" s="420"/>
      <c r="AV180" s="420"/>
      <c r="AW180" s="420"/>
      <c r="AX180" s="492"/>
      <c r="AY180" s="420"/>
      <c r="AZ180" s="420"/>
      <c r="BA180" s="420"/>
      <c r="BB180" s="420"/>
      <c r="BC180" s="420"/>
      <c r="BD180" s="420"/>
      <c r="BE180" s="317"/>
      <c r="BF180" s="494"/>
      <c r="BG180" s="317"/>
      <c r="BH180" s="317"/>
      <c r="BI180" s="317"/>
      <c r="BJ180" s="317"/>
      <c r="BK180" s="317"/>
      <c r="BL180" s="317"/>
    </row>
    <row r="181" spans="2:64" s="47" customFormat="1" ht="9.9499999999999993" customHeight="1">
      <c r="B181" s="55"/>
      <c r="G181" s="55"/>
      <c r="I181" s="420"/>
      <c r="J181" s="492"/>
      <c r="K181" s="420"/>
      <c r="L181" s="420"/>
      <c r="M181" s="420"/>
      <c r="N181" s="420"/>
      <c r="O181" s="420"/>
      <c r="P181" s="420"/>
      <c r="Q181" s="486"/>
      <c r="R181" s="511"/>
      <c r="S181" s="479"/>
      <c r="T181" s="332"/>
      <c r="U181" s="332"/>
      <c r="V181" s="332"/>
      <c r="W181" s="507"/>
      <c r="X181" s="332"/>
      <c r="Y181" s="332"/>
      <c r="Z181" s="491"/>
      <c r="AA181" s="332"/>
      <c r="AB181" s="420"/>
      <c r="AC181" s="420"/>
      <c r="AD181" s="420"/>
      <c r="AE181" s="420"/>
      <c r="AF181" s="420"/>
      <c r="AG181" s="420"/>
      <c r="AH181" s="492"/>
      <c r="AI181" s="420"/>
      <c r="AJ181" s="420"/>
      <c r="AK181" s="420"/>
      <c r="AL181" s="420"/>
      <c r="AM181" s="420"/>
      <c r="AN181" s="420"/>
      <c r="AO181" s="420"/>
      <c r="AP181" s="492"/>
      <c r="AQ181" s="420"/>
      <c r="AR181" s="420"/>
      <c r="AS181" s="420"/>
      <c r="AT181" s="420"/>
      <c r="AU181" s="420"/>
      <c r="AV181" s="420"/>
      <c r="AW181" s="420"/>
      <c r="AX181" s="492"/>
      <c r="AY181" s="420"/>
      <c r="AZ181" s="420"/>
      <c r="BA181" s="420"/>
      <c r="BB181" s="420"/>
      <c r="BC181" s="420"/>
      <c r="BD181" s="420"/>
      <c r="BE181" s="317"/>
      <c r="BF181" s="494"/>
      <c r="BG181" s="317"/>
      <c r="BH181" s="317"/>
      <c r="BI181" s="317"/>
      <c r="BJ181" s="317"/>
      <c r="BK181" s="317"/>
      <c r="BL181" s="317"/>
    </row>
    <row r="182" spans="2:64" s="47" customFormat="1" ht="9.9499999999999993" customHeight="1">
      <c r="B182" s="55"/>
      <c r="G182" s="55"/>
      <c r="I182" s="420"/>
      <c r="J182" s="492"/>
      <c r="K182" s="420"/>
      <c r="L182" s="420"/>
      <c r="M182" s="420"/>
      <c r="N182" s="420"/>
      <c r="O182" s="420"/>
      <c r="P182" s="420"/>
      <c r="Q182" s="486"/>
      <c r="R182" s="508"/>
      <c r="S182" s="479"/>
      <c r="T182" s="509"/>
      <c r="U182" s="510"/>
      <c r="V182" s="509"/>
      <c r="W182" s="472"/>
      <c r="X182" s="509"/>
      <c r="Y182" s="332"/>
      <c r="Z182" s="491"/>
      <c r="AA182" s="332"/>
      <c r="AB182" s="420"/>
      <c r="AC182" s="420"/>
      <c r="AD182" s="420"/>
      <c r="AE182" s="420"/>
      <c r="AF182" s="420"/>
      <c r="AG182" s="420"/>
      <c r="AH182" s="492"/>
      <c r="AI182" s="420"/>
      <c r="AJ182" s="420"/>
      <c r="AK182" s="420"/>
      <c r="AL182" s="420"/>
      <c r="AM182" s="420"/>
      <c r="AN182" s="420"/>
      <c r="AO182" s="420"/>
      <c r="AP182" s="492"/>
      <c r="AQ182" s="420"/>
      <c r="AR182" s="420"/>
      <c r="AS182" s="420"/>
      <c r="AT182" s="420"/>
      <c r="AU182" s="420"/>
      <c r="AV182" s="420"/>
      <c r="AW182" s="420"/>
      <c r="AX182" s="492"/>
      <c r="AY182" s="420"/>
      <c r="AZ182" s="420"/>
      <c r="BA182" s="420"/>
      <c r="BB182" s="420"/>
      <c r="BC182" s="420"/>
      <c r="BD182" s="420"/>
      <c r="BE182" s="317"/>
      <c r="BF182" s="494"/>
      <c r="BG182" s="317"/>
      <c r="BH182" s="317"/>
      <c r="BI182" s="317"/>
      <c r="BJ182" s="317"/>
      <c r="BK182" s="317"/>
      <c r="BL182" s="317"/>
    </row>
    <row r="183" spans="2:64" s="47" customFormat="1" ht="10.5" customHeight="1">
      <c r="B183" s="55"/>
      <c r="G183" s="55"/>
      <c r="I183" s="420"/>
      <c r="J183" s="492"/>
      <c r="K183" s="420"/>
      <c r="L183" s="420"/>
      <c r="M183" s="420"/>
      <c r="N183" s="420"/>
      <c r="O183" s="420"/>
      <c r="P183" s="420"/>
      <c r="Q183" s="332"/>
      <c r="R183" s="491"/>
      <c r="S183" s="332"/>
      <c r="T183" s="332"/>
      <c r="U183" s="332"/>
      <c r="V183" s="332"/>
      <c r="W183" s="507"/>
      <c r="X183" s="332"/>
      <c r="Y183" s="332"/>
      <c r="Z183" s="491"/>
      <c r="AA183" s="332"/>
      <c r="AB183" s="420"/>
      <c r="AC183" s="420"/>
      <c r="AD183" s="420"/>
      <c r="AE183" s="420"/>
      <c r="AF183" s="420"/>
      <c r="AG183" s="420"/>
      <c r="AH183" s="492"/>
      <c r="AI183" s="420"/>
      <c r="AJ183" s="420"/>
      <c r="AK183" s="420"/>
      <c r="AL183" s="420"/>
      <c r="AM183" s="420"/>
      <c r="AN183" s="420"/>
      <c r="AO183" s="420"/>
      <c r="AP183" s="492"/>
      <c r="AQ183" s="420"/>
      <c r="AR183" s="420"/>
      <c r="AS183" s="420"/>
      <c r="AT183" s="420"/>
      <c r="AU183" s="420"/>
      <c r="AV183" s="420"/>
      <c r="AW183" s="420"/>
      <c r="AX183" s="492"/>
      <c r="AY183" s="420"/>
      <c r="AZ183" s="420"/>
      <c r="BA183" s="420"/>
      <c r="BB183" s="420"/>
      <c r="BC183" s="420"/>
      <c r="BD183" s="420"/>
      <c r="BE183" s="420"/>
      <c r="BF183" s="492"/>
      <c r="BG183" s="420"/>
      <c r="BH183" s="420"/>
      <c r="BI183" s="420"/>
      <c r="BJ183" s="420"/>
      <c r="BK183" s="420"/>
      <c r="BL183" s="420"/>
    </row>
    <row r="184" spans="2:64" s="47" customFormat="1" ht="10.5" customHeight="1">
      <c r="B184" s="55"/>
      <c r="G184" s="55"/>
      <c r="I184" s="420"/>
      <c r="J184" s="492"/>
      <c r="K184" s="420"/>
      <c r="L184" s="420"/>
      <c r="M184" s="420"/>
      <c r="N184" s="420"/>
      <c r="O184" s="420"/>
      <c r="P184" s="420"/>
      <c r="Q184" s="420"/>
      <c r="R184" s="492"/>
      <c r="S184" s="420"/>
      <c r="T184" s="420"/>
      <c r="U184" s="420"/>
      <c r="V184" s="420"/>
      <c r="W184" s="493"/>
      <c r="X184" s="420"/>
      <c r="Y184" s="420"/>
      <c r="Z184" s="492"/>
      <c r="AA184" s="420"/>
      <c r="AB184" s="420"/>
      <c r="AC184" s="420"/>
      <c r="AD184" s="420"/>
      <c r="AE184" s="420"/>
      <c r="AF184" s="420"/>
      <c r="AG184" s="420"/>
      <c r="AH184" s="492"/>
      <c r="AI184" s="420"/>
      <c r="AJ184" s="420"/>
      <c r="AK184" s="420"/>
      <c r="AL184" s="420"/>
      <c r="AM184" s="420"/>
      <c r="AN184" s="420"/>
      <c r="AO184" s="420"/>
      <c r="AP184" s="492"/>
      <c r="AQ184" s="420"/>
      <c r="AR184" s="420"/>
      <c r="AS184" s="420"/>
      <c r="AT184" s="420"/>
      <c r="AU184" s="420"/>
      <c r="AV184" s="420"/>
      <c r="AW184" s="420"/>
      <c r="AX184" s="492"/>
      <c r="AY184" s="420"/>
      <c r="AZ184" s="420"/>
      <c r="BA184" s="420"/>
      <c r="BB184" s="420"/>
      <c r="BC184" s="420"/>
      <c r="BD184" s="420"/>
      <c r="BE184" s="420"/>
      <c r="BF184" s="492"/>
      <c r="BG184" s="420"/>
      <c r="BH184" s="420"/>
      <c r="BI184" s="420"/>
      <c r="BJ184" s="420"/>
      <c r="BK184" s="420"/>
      <c r="BL184" s="420"/>
    </row>
    <row r="185" spans="2:64" s="47" customFormat="1" ht="10.5" customHeight="1">
      <c r="B185" s="55"/>
      <c r="G185" s="55"/>
      <c r="I185" s="420"/>
      <c r="J185" s="492"/>
      <c r="K185" s="420"/>
      <c r="L185" s="420"/>
      <c r="M185" s="420"/>
      <c r="N185" s="420"/>
      <c r="O185" s="420"/>
      <c r="P185" s="420"/>
      <c r="Q185" s="420"/>
      <c r="R185" s="492"/>
      <c r="S185" s="420"/>
      <c r="T185" s="420"/>
      <c r="U185" s="420"/>
      <c r="V185" s="420"/>
      <c r="W185" s="493"/>
      <c r="X185" s="420"/>
      <c r="Y185" s="420"/>
      <c r="Z185" s="492"/>
      <c r="AA185" s="420"/>
      <c r="AB185" s="420"/>
      <c r="AC185" s="420"/>
      <c r="AD185" s="420"/>
      <c r="AE185" s="420"/>
      <c r="AF185" s="420"/>
      <c r="AG185" s="420"/>
      <c r="AH185" s="492"/>
      <c r="AI185" s="420"/>
      <c r="AJ185" s="420"/>
      <c r="AK185" s="420"/>
      <c r="AL185" s="420"/>
      <c r="AM185" s="420"/>
      <c r="AN185" s="420"/>
      <c r="AO185" s="420"/>
      <c r="AP185" s="492"/>
      <c r="AQ185" s="420"/>
      <c r="AR185" s="420"/>
      <c r="AS185" s="420"/>
      <c r="AT185" s="420"/>
      <c r="AU185" s="420"/>
      <c r="AV185" s="420"/>
      <c r="AW185" s="420"/>
      <c r="AX185" s="492"/>
      <c r="AY185" s="420"/>
      <c r="AZ185" s="420"/>
      <c r="BA185" s="420"/>
      <c r="BB185" s="420"/>
      <c r="BC185" s="420"/>
      <c r="BD185" s="420"/>
      <c r="BE185" s="420"/>
      <c r="BF185" s="492"/>
      <c r="BG185" s="420"/>
      <c r="BH185" s="420"/>
      <c r="BI185" s="420"/>
      <c r="BJ185" s="420"/>
      <c r="BK185" s="420"/>
      <c r="BL185" s="420"/>
    </row>
    <row r="186" spans="2:64" s="47" customFormat="1" ht="10.5" customHeight="1">
      <c r="B186" s="55"/>
      <c r="G186" s="55"/>
      <c r="I186" s="420"/>
      <c r="J186" s="492"/>
      <c r="K186" s="420"/>
      <c r="L186" s="420"/>
      <c r="M186" s="420"/>
      <c r="N186" s="420"/>
      <c r="O186" s="420"/>
      <c r="P186" s="420"/>
      <c r="Q186" s="420"/>
      <c r="R186" s="492"/>
      <c r="S186" s="420"/>
      <c r="T186" s="420"/>
      <c r="U186" s="420"/>
      <c r="V186" s="420"/>
      <c r="W186" s="493"/>
      <c r="X186" s="420"/>
      <c r="Y186" s="420"/>
      <c r="Z186" s="492"/>
      <c r="AA186" s="420"/>
      <c r="AB186" s="420"/>
      <c r="AC186" s="420"/>
      <c r="AD186" s="420"/>
      <c r="AE186" s="420"/>
      <c r="AF186" s="420"/>
      <c r="AG186" s="420"/>
      <c r="AH186" s="492"/>
      <c r="AI186" s="420"/>
      <c r="AJ186" s="420"/>
      <c r="AK186" s="420"/>
      <c r="AL186" s="420"/>
      <c r="AM186" s="420"/>
      <c r="AN186" s="420"/>
      <c r="AO186" s="420"/>
      <c r="AP186" s="492"/>
      <c r="AQ186" s="420"/>
      <c r="AR186" s="420"/>
      <c r="AS186" s="420"/>
      <c r="AT186" s="420"/>
      <c r="AU186" s="420"/>
      <c r="AV186" s="420"/>
      <c r="AW186" s="420"/>
      <c r="AX186" s="492"/>
      <c r="AY186" s="420"/>
      <c r="AZ186" s="420"/>
      <c r="BA186" s="420"/>
      <c r="BB186" s="420"/>
      <c r="BC186" s="420"/>
      <c r="BD186" s="420"/>
      <c r="BE186" s="420"/>
      <c r="BF186" s="492"/>
      <c r="BG186" s="420"/>
      <c r="BH186" s="420"/>
      <c r="BI186" s="420"/>
      <c r="BJ186" s="420"/>
      <c r="BK186" s="420"/>
      <c r="BL186" s="420"/>
    </row>
    <row r="187" spans="2:64" s="47" customFormat="1" ht="10.5" customHeight="1">
      <c r="B187" s="55"/>
      <c r="G187" s="55"/>
      <c r="I187" s="420"/>
      <c r="J187" s="492"/>
      <c r="K187" s="420"/>
      <c r="L187" s="420"/>
      <c r="M187" s="420"/>
      <c r="N187" s="420"/>
      <c r="O187" s="420"/>
      <c r="P187" s="420"/>
      <c r="Q187" s="420"/>
      <c r="R187" s="492"/>
      <c r="S187" s="420"/>
      <c r="T187" s="420"/>
      <c r="U187" s="420"/>
      <c r="V187" s="420"/>
      <c r="W187" s="493"/>
      <c r="X187" s="420"/>
      <c r="Y187" s="420"/>
      <c r="Z187" s="492"/>
      <c r="AA187" s="420"/>
      <c r="AB187" s="420"/>
      <c r="AC187" s="420"/>
      <c r="AD187" s="420"/>
      <c r="AE187" s="420"/>
      <c r="AF187" s="420"/>
      <c r="AG187" s="420"/>
      <c r="AH187" s="492"/>
      <c r="AI187" s="420"/>
      <c r="AJ187" s="420"/>
      <c r="AK187" s="420"/>
      <c r="AL187" s="420"/>
      <c r="AM187" s="420"/>
      <c r="AN187" s="420"/>
      <c r="AO187" s="420"/>
      <c r="AP187" s="492"/>
      <c r="AQ187" s="420"/>
      <c r="AR187" s="420"/>
      <c r="AS187" s="420"/>
      <c r="AT187" s="420"/>
      <c r="AU187" s="420"/>
      <c r="AV187" s="420"/>
      <c r="AW187" s="420"/>
      <c r="AX187" s="492"/>
      <c r="AY187" s="420"/>
      <c r="AZ187" s="420"/>
      <c r="BA187" s="420"/>
      <c r="BB187" s="420"/>
      <c r="BC187" s="420"/>
      <c r="BD187" s="420"/>
      <c r="BE187" s="420"/>
      <c r="BF187" s="492"/>
      <c r="BG187" s="420"/>
      <c r="BH187" s="420"/>
      <c r="BI187" s="420"/>
      <c r="BJ187" s="420"/>
      <c r="BK187" s="420"/>
      <c r="BL187" s="420"/>
    </row>
    <row r="188" spans="2:64" s="47" customFormat="1" ht="10.5" customHeight="1">
      <c r="B188" s="55"/>
      <c r="G188" s="55"/>
      <c r="I188" s="420"/>
      <c r="J188" s="492"/>
      <c r="K188" s="420"/>
      <c r="L188" s="420"/>
      <c r="M188" s="420"/>
      <c r="N188" s="420"/>
      <c r="O188" s="420"/>
      <c r="P188" s="420"/>
      <c r="Q188" s="420"/>
      <c r="R188" s="492"/>
      <c r="S188" s="420"/>
      <c r="T188" s="420"/>
      <c r="U188" s="420"/>
      <c r="V188" s="420"/>
      <c r="W188" s="493"/>
      <c r="X188" s="420"/>
      <c r="Y188" s="420"/>
      <c r="Z188" s="492"/>
      <c r="AA188" s="420"/>
      <c r="AB188" s="420"/>
      <c r="AC188" s="420"/>
      <c r="AD188" s="420"/>
      <c r="AE188" s="420"/>
      <c r="AF188" s="420"/>
      <c r="AG188" s="420"/>
      <c r="AH188" s="492"/>
      <c r="AI188" s="420"/>
      <c r="AJ188" s="420"/>
      <c r="AK188" s="420"/>
      <c r="AL188" s="420"/>
      <c r="AM188" s="420"/>
      <c r="AN188" s="420"/>
      <c r="AO188" s="420"/>
      <c r="AP188" s="492"/>
      <c r="AQ188" s="420"/>
      <c r="AR188" s="420"/>
      <c r="AS188" s="420"/>
      <c r="AT188" s="420"/>
      <c r="AU188" s="420"/>
      <c r="AV188" s="420"/>
      <c r="AW188" s="514"/>
      <c r="AX188" s="492"/>
      <c r="AY188" s="420"/>
      <c r="AZ188" s="420"/>
      <c r="BA188" s="420"/>
      <c r="BB188" s="420"/>
      <c r="BC188" s="420"/>
      <c r="BD188" s="420"/>
      <c r="BE188" s="420"/>
      <c r="BF188" s="492"/>
      <c r="BG188" s="420"/>
      <c r="BH188" s="420"/>
      <c r="BI188" s="420"/>
      <c r="BJ188" s="420"/>
      <c r="BK188" s="420"/>
      <c r="BL188" s="420"/>
    </row>
    <row r="189" spans="2:64" s="47" customFormat="1" ht="9.1999999999999993" customHeight="1">
      <c r="B189" s="55"/>
      <c r="G189" s="55"/>
      <c r="I189" s="420"/>
      <c r="J189" s="492"/>
      <c r="K189" s="420"/>
      <c r="L189" s="420"/>
      <c r="M189" s="420"/>
      <c r="N189" s="420"/>
      <c r="O189" s="420"/>
      <c r="P189" s="420"/>
      <c r="Q189" s="332"/>
      <c r="R189" s="492"/>
      <c r="S189" s="479"/>
      <c r="T189" s="512"/>
      <c r="U189" s="513"/>
      <c r="V189" s="512"/>
      <c r="W189" s="472"/>
      <c r="X189" s="509"/>
      <c r="Y189" s="420"/>
      <c r="Z189" s="492"/>
      <c r="AA189" s="420"/>
      <c r="AB189" s="420"/>
      <c r="AC189" s="420"/>
      <c r="AD189" s="420"/>
      <c r="AE189" s="420"/>
      <c r="AF189" s="420"/>
      <c r="AG189" s="420"/>
      <c r="AH189" s="492"/>
      <c r="AI189" s="420"/>
      <c r="AJ189" s="420"/>
      <c r="AK189" s="420"/>
      <c r="AL189" s="420"/>
      <c r="AM189" s="420"/>
      <c r="AN189" s="420"/>
      <c r="AO189" s="420"/>
      <c r="AP189" s="492"/>
      <c r="AQ189" s="420"/>
      <c r="AR189" s="420"/>
      <c r="AS189" s="420"/>
      <c r="AT189" s="420"/>
      <c r="AU189" s="420"/>
      <c r="AV189" s="420"/>
      <c r="AW189" s="514"/>
      <c r="AX189" s="515"/>
      <c r="AY189" s="514"/>
      <c r="AZ189" s="514"/>
      <c r="BA189" s="514"/>
      <c r="BB189" s="514"/>
      <c r="BC189" s="514"/>
      <c r="BD189" s="514"/>
      <c r="BE189" s="420"/>
      <c r="BF189" s="492"/>
      <c r="BG189" s="420"/>
      <c r="BH189" s="420"/>
      <c r="BI189" s="420"/>
      <c r="BJ189" s="420"/>
      <c r="BK189" s="420"/>
      <c r="BL189" s="420"/>
    </row>
    <row r="190" spans="2:64" s="18" customFormat="1" ht="9.1999999999999993" customHeight="1">
      <c r="B190" s="55"/>
      <c r="G190" s="55"/>
      <c r="I190" s="514"/>
      <c r="J190" s="515"/>
      <c r="K190" s="514"/>
      <c r="L190" s="514"/>
      <c r="M190" s="514"/>
      <c r="N190" s="514"/>
      <c r="O190" s="514"/>
      <c r="P190" s="514"/>
      <c r="Q190" s="514"/>
      <c r="R190" s="492"/>
      <c r="S190" s="514"/>
      <c r="T190" s="514"/>
      <c r="U190" s="514"/>
      <c r="V190" s="514"/>
      <c r="W190" s="493"/>
      <c r="X190" s="514"/>
      <c r="Y190" s="514"/>
      <c r="Z190" s="515"/>
      <c r="AA190" s="514"/>
      <c r="AB190" s="514"/>
      <c r="AC190" s="514"/>
      <c r="AD190" s="514"/>
      <c r="AE190" s="514"/>
      <c r="AF190" s="514"/>
      <c r="AG190" s="514"/>
      <c r="AH190" s="515"/>
      <c r="AI190" s="514"/>
      <c r="AJ190" s="514"/>
      <c r="AK190" s="514"/>
      <c r="AL190" s="514"/>
      <c r="AM190" s="514"/>
      <c r="AN190" s="514"/>
      <c r="AO190" s="514"/>
      <c r="AP190" s="515"/>
      <c r="AQ190" s="514"/>
      <c r="AR190" s="514"/>
      <c r="AS190" s="514"/>
      <c r="AT190" s="514"/>
      <c r="AU190" s="514"/>
      <c r="AV190" s="514"/>
      <c r="AW190" s="514"/>
      <c r="AX190" s="515"/>
      <c r="AY190" s="514"/>
      <c r="AZ190" s="514"/>
      <c r="BA190" s="514"/>
      <c r="BB190" s="514"/>
      <c r="BC190" s="514"/>
      <c r="BD190" s="514"/>
      <c r="BE190" s="420"/>
      <c r="BF190" s="492"/>
      <c r="BG190" s="420"/>
      <c r="BH190" s="420"/>
      <c r="BI190" s="420"/>
      <c r="BJ190" s="420"/>
      <c r="BK190" s="420"/>
      <c r="BL190" s="420"/>
    </row>
    <row r="191" spans="2:64" s="18" customFormat="1" ht="9.1999999999999993" customHeight="1">
      <c r="B191" s="55"/>
      <c r="G191" s="55"/>
      <c r="I191" s="514"/>
      <c r="J191" s="515"/>
      <c r="K191" s="514"/>
      <c r="L191" s="514"/>
      <c r="M191" s="514"/>
      <c r="N191" s="514"/>
      <c r="O191" s="514"/>
      <c r="P191" s="514"/>
      <c r="Q191" s="514"/>
      <c r="R191" s="492"/>
      <c r="S191" s="514"/>
      <c r="T191" s="514"/>
      <c r="U191" s="514"/>
      <c r="V191" s="514"/>
      <c r="W191" s="493"/>
      <c r="X191" s="514"/>
      <c r="Y191" s="514"/>
      <c r="Z191" s="515"/>
      <c r="AA191" s="514"/>
      <c r="AB191" s="514"/>
      <c r="AC191" s="514"/>
      <c r="AD191" s="514"/>
      <c r="AE191" s="514"/>
      <c r="AF191" s="514"/>
      <c r="AG191" s="514"/>
      <c r="AH191" s="515"/>
      <c r="AI191" s="514"/>
      <c r="AJ191" s="514"/>
      <c r="AK191" s="514"/>
      <c r="AL191" s="514"/>
      <c r="AM191" s="514"/>
      <c r="AN191" s="514"/>
      <c r="AO191" s="514"/>
      <c r="AP191" s="515"/>
      <c r="AQ191" s="514"/>
      <c r="AR191" s="514"/>
      <c r="AS191" s="514"/>
      <c r="AT191" s="514"/>
      <c r="AU191" s="514"/>
      <c r="AV191" s="514"/>
      <c r="AW191" s="493"/>
      <c r="AX191" s="515"/>
      <c r="AY191" s="514"/>
      <c r="AZ191" s="514"/>
      <c r="BA191" s="514"/>
      <c r="BB191" s="514"/>
      <c r="BC191" s="514"/>
      <c r="BD191" s="514"/>
      <c r="BE191" s="420"/>
      <c r="BF191" s="492"/>
      <c r="BG191" s="420"/>
      <c r="BH191" s="420"/>
      <c r="BI191" s="420"/>
      <c r="BJ191" s="420"/>
      <c r="BK191" s="420"/>
      <c r="BL191" s="420"/>
    </row>
    <row r="192" spans="2:64" s="18" customFormat="1" ht="8.4499999999999993" customHeight="1">
      <c r="B192" s="55"/>
      <c r="G192" s="55"/>
      <c r="I192" s="514"/>
      <c r="J192" s="515"/>
      <c r="K192" s="514"/>
      <c r="L192" s="514"/>
      <c r="M192" s="514"/>
      <c r="N192" s="514"/>
      <c r="O192" s="514"/>
      <c r="P192" s="514"/>
      <c r="Q192" s="514"/>
      <c r="R192" s="492"/>
      <c r="S192" s="514"/>
      <c r="T192" s="514"/>
      <c r="U192" s="514"/>
      <c r="V192" s="514"/>
      <c r="W192" s="493"/>
      <c r="X192" s="514"/>
      <c r="Y192" s="514"/>
      <c r="Z192" s="515"/>
      <c r="AA192" s="514"/>
      <c r="AB192" s="514"/>
      <c r="AC192" s="514"/>
      <c r="AD192" s="514"/>
      <c r="AE192" s="514"/>
      <c r="AF192" s="514"/>
      <c r="AG192" s="514"/>
      <c r="AH192" s="515"/>
      <c r="AI192" s="514"/>
      <c r="AJ192" s="514"/>
      <c r="AK192" s="514"/>
      <c r="AL192" s="514"/>
      <c r="AM192" s="514"/>
      <c r="AN192" s="514"/>
      <c r="AO192" s="514"/>
      <c r="AP192" s="515"/>
      <c r="AQ192" s="514"/>
      <c r="AR192" s="514"/>
      <c r="AS192" s="514"/>
      <c r="AT192" s="514"/>
      <c r="AU192" s="514"/>
      <c r="AV192" s="514"/>
      <c r="AW192" s="493"/>
      <c r="AX192" s="498"/>
      <c r="AY192" s="493"/>
      <c r="AZ192" s="493"/>
      <c r="BA192" s="493"/>
      <c r="BB192" s="493"/>
      <c r="BC192" s="493"/>
      <c r="BD192" s="493"/>
      <c r="BE192" s="420"/>
      <c r="BF192" s="492"/>
      <c r="BG192" s="420"/>
      <c r="BH192" s="420"/>
      <c r="BI192" s="420"/>
      <c r="BJ192" s="420"/>
      <c r="BK192" s="420"/>
      <c r="BL192" s="420"/>
    </row>
    <row r="193" spans="1:64" s="55" customFormat="1" ht="8.4499999999999993" customHeight="1">
      <c r="I193" s="493"/>
      <c r="J193" s="498"/>
      <c r="K193" s="493"/>
      <c r="L193" s="493"/>
      <c r="M193" s="493"/>
      <c r="N193" s="493"/>
      <c r="O193" s="493"/>
      <c r="P193" s="493"/>
      <c r="Q193" s="493"/>
      <c r="R193" s="492"/>
      <c r="S193" s="493"/>
      <c r="T193" s="493"/>
      <c r="U193" s="493"/>
      <c r="V193" s="493"/>
      <c r="W193" s="493"/>
      <c r="X193" s="493"/>
      <c r="Y193" s="493"/>
      <c r="Z193" s="498"/>
      <c r="AA193" s="493"/>
      <c r="AB193" s="493"/>
      <c r="AC193" s="493"/>
      <c r="AD193" s="493"/>
      <c r="AE193" s="493"/>
      <c r="AF193" s="493"/>
      <c r="AG193" s="493"/>
      <c r="AH193" s="498"/>
      <c r="AI193" s="493"/>
      <c r="AJ193" s="493"/>
      <c r="AK193" s="493"/>
      <c r="AL193" s="493"/>
      <c r="AM193" s="493"/>
      <c r="AN193" s="493"/>
      <c r="AO193" s="493"/>
      <c r="AP193" s="498"/>
      <c r="AQ193" s="493"/>
      <c r="AR193" s="493"/>
      <c r="AS193" s="493"/>
      <c r="AT193" s="493"/>
      <c r="AU193" s="493"/>
      <c r="AV193" s="493"/>
      <c r="AW193" s="493"/>
      <c r="AX193" s="498"/>
      <c r="AY193" s="493"/>
      <c r="AZ193" s="493"/>
      <c r="BA193" s="493"/>
      <c r="BB193" s="493"/>
      <c r="BC193" s="493"/>
      <c r="BD193" s="493"/>
      <c r="BE193" s="420"/>
      <c r="BF193" s="492"/>
      <c r="BG193" s="420"/>
      <c r="BH193" s="420"/>
      <c r="BI193" s="420"/>
      <c r="BJ193" s="420"/>
      <c r="BK193" s="420"/>
      <c r="BL193" s="420"/>
    </row>
    <row r="194" spans="1:64" s="55" customFormat="1" ht="8.4499999999999993" customHeight="1">
      <c r="I194" s="493"/>
      <c r="J194" s="498"/>
      <c r="K194" s="493"/>
      <c r="L194" s="493"/>
      <c r="M194" s="493"/>
      <c r="N194" s="493"/>
      <c r="O194" s="493"/>
      <c r="P194" s="493"/>
      <c r="Q194" s="493"/>
      <c r="R194" s="492"/>
      <c r="S194" s="493"/>
      <c r="T194" s="493"/>
      <c r="U194" s="493"/>
      <c r="V194" s="493"/>
      <c r="W194" s="493"/>
      <c r="X194" s="493"/>
      <c r="Y194" s="493"/>
      <c r="Z194" s="498"/>
      <c r="AA194" s="493"/>
      <c r="AB194" s="493"/>
      <c r="AC194" s="493"/>
      <c r="AD194" s="493"/>
      <c r="AE194" s="493"/>
      <c r="AF194" s="493"/>
      <c r="AG194" s="493"/>
      <c r="AH194" s="498"/>
      <c r="AI194" s="493"/>
      <c r="AJ194" s="493"/>
      <c r="AK194" s="493"/>
      <c r="AL194" s="493"/>
      <c r="AM194" s="493"/>
      <c r="AN194" s="493"/>
      <c r="AO194" s="493"/>
      <c r="AP194" s="498"/>
      <c r="AQ194" s="493"/>
      <c r="AR194" s="493"/>
      <c r="AS194" s="493"/>
      <c r="AT194" s="493"/>
      <c r="AU194" s="493"/>
      <c r="AV194" s="493"/>
      <c r="AW194" s="493"/>
      <c r="AX194" s="498"/>
      <c r="AY194" s="493"/>
      <c r="AZ194" s="493"/>
      <c r="BA194" s="493"/>
      <c r="BB194" s="493"/>
      <c r="BC194" s="493"/>
      <c r="BD194" s="493"/>
      <c r="BE194" s="514"/>
      <c r="BF194" s="515"/>
      <c r="BG194" s="514"/>
      <c r="BH194" s="514"/>
      <c r="BI194" s="514"/>
      <c r="BJ194" s="514"/>
      <c r="BK194" s="514"/>
      <c r="BL194" s="514"/>
    </row>
    <row r="195" spans="1:64" s="55" customFormat="1" ht="8.4499999999999993" customHeight="1">
      <c r="I195" s="493"/>
      <c r="J195" s="498"/>
      <c r="K195" s="493"/>
      <c r="L195" s="493"/>
      <c r="M195" s="493"/>
      <c r="N195" s="493"/>
      <c r="O195" s="493"/>
      <c r="P195" s="493"/>
      <c r="Q195" s="493"/>
      <c r="R195" s="492"/>
      <c r="S195" s="493"/>
      <c r="T195" s="493"/>
      <c r="U195" s="493"/>
      <c r="V195" s="493"/>
      <c r="W195" s="493"/>
      <c r="X195" s="493"/>
      <c r="Y195" s="493"/>
      <c r="Z195" s="498"/>
      <c r="AA195" s="493"/>
      <c r="AB195" s="493"/>
      <c r="AC195" s="493"/>
      <c r="AD195" s="493"/>
      <c r="AE195" s="493"/>
      <c r="AF195" s="493"/>
      <c r="AG195" s="493"/>
      <c r="AH195" s="498"/>
      <c r="AI195" s="493"/>
      <c r="AJ195" s="493"/>
      <c r="AK195" s="493"/>
      <c r="AL195" s="493"/>
      <c r="AM195" s="493"/>
      <c r="AN195" s="493"/>
      <c r="AO195" s="493"/>
      <c r="AP195" s="498"/>
      <c r="AQ195" s="493"/>
      <c r="AR195" s="493"/>
      <c r="AS195" s="493"/>
      <c r="AT195" s="493"/>
      <c r="AU195" s="493"/>
      <c r="AV195" s="493"/>
      <c r="AW195" s="493"/>
      <c r="AX195" s="498"/>
      <c r="AY195" s="493"/>
      <c r="AZ195" s="493"/>
      <c r="BA195" s="493"/>
      <c r="BB195" s="493"/>
      <c r="BC195" s="493"/>
      <c r="BD195" s="493"/>
      <c r="BE195" s="514"/>
      <c r="BF195" s="515"/>
      <c r="BG195" s="514"/>
      <c r="BH195" s="514"/>
      <c r="BI195" s="514"/>
      <c r="BJ195" s="514"/>
      <c r="BK195" s="514"/>
      <c r="BL195" s="514"/>
    </row>
    <row r="196" spans="1:64" s="55" customFormat="1" ht="8.4499999999999993" customHeight="1">
      <c r="I196" s="493"/>
      <c r="J196" s="498"/>
      <c r="K196" s="493"/>
      <c r="L196" s="493"/>
      <c r="M196" s="493"/>
      <c r="N196" s="493"/>
      <c r="O196" s="493"/>
      <c r="P196" s="493"/>
      <c r="Q196" s="493"/>
      <c r="R196" s="492"/>
      <c r="S196" s="493"/>
      <c r="T196" s="493"/>
      <c r="U196" s="493"/>
      <c r="V196" s="493"/>
      <c r="W196" s="493"/>
      <c r="X196" s="493"/>
      <c r="Y196" s="493"/>
      <c r="Z196" s="498"/>
      <c r="AA196" s="493"/>
      <c r="AB196" s="493"/>
      <c r="AC196" s="493"/>
      <c r="AD196" s="493"/>
      <c r="AE196" s="493"/>
      <c r="AF196" s="493"/>
      <c r="AG196" s="493"/>
      <c r="AH196" s="498"/>
      <c r="AI196" s="493"/>
      <c r="AJ196" s="493"/>
      <c r="AK196" s="493"/>
      <c r="AL196" s="493"/>
      <c r="AM196" s="493"/>
      <c r="AN196" s="493"/>
      <c r="AO196" s="493"/>
      <c r="AP196" s="498"/>
      <c r="AQ196" s="493"/>
      <c r="AR196" s="493"/>
      <c r="AS196" s="493"/>
      <c r="AT196" s="493"/>
      <c r="AU196" s="493"/>
      <c r="AV196" s="493"/>
      <c r="AW196" s="493"/>
      <c r="AX196" s="498"/>
      <c r="AY196" s="493"/>
      <c r="AZ196" s="493"/>
      <c r="BA196" s="493"/>
      <c r="BB196" s="493"/>
      <c r="BC196" s="493"/>
      <c r="BD196" s="493"/>
      <c r="BE196" s="514"/>
      <c r="BF196" s="515"/>
      <c r="BG196" s="514"/>
      <c r="BH196" s="514"/>
      <c r="BI196" s="514"/>
      <c r="BJ196" s="514"/>
      <c r="BK196" s="514"/>
      <c r="BL196" s="514"/>
    </row>
    <row r="197" spans="1:64" s="55" customFormat="1" ht="8.4499999999999993" customHeight="1">
      <c r="I197" s="493"/>
      <c r="J197" s="498"/>
      <c r="K197" s="493"/>
      <c r="L197" s="493"/>
      <c r="M197" s="493"/>
      <c r="N197" s="493"/>
      <c r="O197" s="493"/>
      <c r="P197" s="493"/>
      <c r="Q197" s="493"/>
      <c r="R197" s="492"/>
      <c r="S197" s="493"/>
      <c r="T197" s="493"/>
      <c r="U197" s="493"/>
      <c r="V197" s="493"/>
      <c r="W197" s="493"/>
      <c r="X197" s="493"/>
      <c r="Y197" s="493"/>
      <c r="Z197" s="498"/>
      <c r="AA197" s="493"/>
      <c r="AB197" s="493"/>
      <c r="AC197" s="493"/>
      <c r="AD197" s="493"/>
      <c r="AE197" s="493"/>
      <c r="AF197" s="493"/>
      <c r="AG197" s="493"/>
      <c r="AH197" s="498"/>
      <c r="AI197" s="493"/>
      <c r="AJ197" s="493"/>
      <c r="AK197" s="493"/>
      <c r="AL197" s="493"/>
      <c r="AM197" s="493"/>
      <c r="AN197" s="493"/>
      <c r="AO197" s="493"/>
      <c r="AP197" s="498"/>
      <c r="AQ197" s="493"/>
      <c r="AR197" s="493"/>
      <c r="AS197" s="493"/>
      <c r="AT197" s="493"/>
      <c r="AU197" s="493"/>
      <c r="AV197" s="493"/>
      <c r="AW197" s="493"/>
      <c r="AX197" s="498"/>
      <c r="AY197" s="493"/>
      <c r="AZ197" s="493"/>
      <c r="BA197" s="493"/>
      <c r="BB197" s="493"/>
      <c r="BC197" s="493"/>
      <c r="BD197" s="493"/>
      <c r="BE197" s="493"/>
      <c r="BF197" s="498"/>
      <c r="BG197" s="493"/>
      <c r="BH197" s="493"/>
      <c r="BI197" s="493"/>
      <c r="BJ197" s="493"/>
      <c r="BK197" s="493"/>
      <c r="BL197" s="493"/>
    </row>
    <row r="198" spans="1:64" s="55" customFormat="1" ht="8.4499999999999993" customHeight="1">
      <c r="I198" s="493"/>
      <c r="J198" s="498"/>
      <c r="K198" s="493"/>
      <c r="L198" s="493"/>
      <c r="M198" s="493"/>
      <c r="N198" s="493"/>
      <c r="O198" s="493"/>
      <c r="P198" s="493"/>
      <c r="Q198" s="493"/>
      <c r="R198" s="492"/>
      <c r="S198" s="493"/>
      <c r="T198" s="493"/>
      <c r="U198" s="493"/>
      <c r="V198" s="493"/>
      <c r="W198" s="493"/>
      <c r="X198" s="493"/>
      <c r="Y198" s="493"/>
      <c r="Z198" s="498"/>
      <c r="AA198" s="493"/>
      <c r="AB198" s="493"/>
      <c r="AC198" s="493"/>
      <c r="AD198" s="493"/>
      <c r="AE198" s="493"/>
      <c r="AF198" s="493"/>
      <c r="AG198" s="493"/>
      <c r="AH198" s="498"/>
      <c r="AI198" s="493"/>
      <c r="AJ198" s="493"/>
      <c r="AK198" s="493"/>
      <c r="AL198" s="493"/>
      <c r="AM198" s="493"/>
      <c r="AN198" s="493"/>
      <c r="AO198" s="493"/>
      <c r="AP198" s="498"/>
      <c r="AQ198" s="493"/>
      <c r="AR198" s="493"/>
      <c r="AS198" s="493"/>
      <c r="AT198" s="493"/>
      <c r="AU198" s="493"/>
      <c r="AV198" s="493"/>
      <c r="AW198" s="493"/>
      <c r="AX198" s="498"/>
      <c r="AY198" s="493"/>
      <c r="AZ198" s="493"/>
      <c r="BA198" s="493"/>
      <c r="BB198" s="493"/>
      <c r="BC198" s="493"/>
      <c r="BD198" s="493"/>
      <c r="BE198" s="493"/>
      <c r="BF198" s="498"/>
      <c r="BG198" s="493"/>
      <c r="BH198" s="493"/>
      <c r="BI198" s="493"/>
      <c r="BJ198" s="493"/>
      <c r="BK198" s="493"/>
      <c r="BL198" s="493"/>
    </row>
    <row r="199" spans="1:64" s="55" customFormat="1" ht="8.1" customHeight="1">
      <c r="I199" s="493"/>
      <c r="J199" s="498"/>
      <c r="K199" s="493"/>
      <c r="L199" s="493"/>
      <c r="M199" s="493"/>
      <c r="N199" s="493"/>
      <c r="O199" s="493"/>
      <c r="P199" s="493"/>
      <c r="Q199" s="493"/>
      <c r="R199" s="492"/>
      <c r="S199" s="493"/>
      <c r="T199" s="493"/>
      <c r="U199" s="493"/>
      <c r="V199" s="493"/>
      <c r="W199" s="493"/>
      <c r="X199" s="493"/>
      <c r="Y199" s="493"/>
      <c r="Z199" s="498"/>
      <c r="AA199" s="493"/>
      <c r="AB199" s="493"/>
      <c r="AC199" s="493"/>
      <c r="AD199" s="493"/>
      <c r="AE199" s="493"/>
      <c r="AF199" s="493"/>
      <c r="AG199" s="493"/>
      <c r="AH199" s="498"/>
      <c r="AI199" s="493"/>
      <c r="AJ199" s="493"/>
      <c r="AK199" s="493"/>
      <c r="AL199" s="493"/>
      <c r="AM199" s="493"/>
      <c r="AN199" s="493"/>
      <c r="AO199" s="493"/>
      <c r="AP199" s="498"/>
      <c r="AQ199" s="493"/>
      <c r="AR199" s="493"/>
      <c r="AS199" s="493"/>
      <c r="AT199" s="493"/>
      <c r="AU199" s="493"/>
      <c r="AV199" s="493"/>
      <c r="AW199" s="493"/>
      <c r="AX199" s="498"/>
      <c r="AY199" s="493"/>
      <c r="AZ199" s="493"/>
      <c r="BA199" s="493"/>
      <c r="BB199" s="493"/>
      <c r="BC199" s="493"/>
      <c r="BD199" s="493"/>
      <c r="BE199" s="493"/>
      <c r="BF199" s="498"/>
      <c r="BG199" s="493"/>
      <c r="BH199" s="493"/>
      <c r="BI199" s="493"/>
      <c r="BJ199" s="493"/>
      <c r="BK199" s="493"/>
      <c r="BL199" s="493"/>
    </row>
    <row r="200" spans="1:64" s="55" customFormat="1" ht="8.1" customHeight="1">
      <c r="I200" s="493"/>
      <c r="J200" s="498"/>
      <c r="K200" s="493"/>
      <c r="L200" s="493"/>
      <c r="M200" s="493"/>
      <c r="N200" s="493"/>
      <c r="O200" s="493"/>
      <c r="P200" s="493"/>
      <c r="Q200" s="493"/>
      <c r="R200" s="492"/>
      <c r="S200" s="493"/>
      <c r="T200" s="493"/>
      <c r="U200" s="493"/>
      <c r="V200" s="493"/>
      <c r="W200" s="493"/>
      <c r="X200" s="493"/>
      <c r="Y200" s="493"/>
      <c r="Z200" s="498"/>
      <c r="AA200" s="493"/>
      <c r="AB200" s="493"/>
      <c r="AC200" s="493"/>
      <c r="AD200" s="493"/>
      <c r="AE200" s="493"/>
      <c r="AF200" s="493"/>
      <c r="AG200" s="493"/>
      <c r="AH200" s="498"/>
      <c r="AI200" s="493"/>
      <c r="AJ200" s="493"/>
      <c r="AK200" s="493"/>
      <c r="AL200" s="493"/>
      <c r="AM200" s="493"/>
      <c r="AN200" s="493"/>
      <c r="AO200" s="493"/>
      <c r="AP200" s="498"/>
      <c r="AQ200" s="493"/>
      <c r="AR200" s="493"/>
      <c r="AS200" s="493"/>
      <c r="AT200" s="493"/>
      <c r="AU200" s="493"/>
      <c r="AV200" s="493"/>
      <c r="AW200" s="493"/>
      <c r="AX200" s="498"/>
      <c r="AY200" s="493"/>
      <c r="AZ200" s="493"/>
      <c r="BA200" s="493"/>
      <c r="BB200" s="493"/>
      <c r="BC200" s="493"/>
      <c r="BD200" s="493"/>
      <c r="BE200" s="493"/>
      <c r="BF200" s="498"/>
      <c r="BG200" s="493"/>
      <c r="BH200" s="493"/>
      <c r="BI200" s="493"/>
      <c r="BJ200" s="493"/>
      <c r="BK200" s="493"/>
      <c r="BL200" s="493"/>
    </row>
    <row r="201" spans="1:64" s="55" customFormat="1" ht="8.1" customHeight="1">
      <c r="A201" s="178"/>
      <c r="I201" s="493"/>
      <c r="J201" s="498"/>
      <c r="K201" s="493"/>
      <c r="L201" s="493"/>
      <c r="M201" s="493"/>
      <c r="N201" s="493"/>
      <c r="O201" s="493"/>
      <c r="P201" s="493"/>
      <c r="Q201" s="507"/>
      <c r="R201" s="492"/>
      <c r="S201" s="516"/>
      <c r="T201" s="517"/>
      <c r="U201" s="518"/>
      <c r="V201" s="517"/>
      <c r="W201" s="472"/>
      <c r="X201" s="472"/>
      <c r="Y201" s="493"/>
      <c r="Z201" s="498"/>
      <c r="AA201" s="493"/>
      <c r="AB201" s="493"/>
      <c r="AC201" s="493"/>
      <c r="AD201" s="493"/>
      <c r="AE201" s="493"/>
      <c r="AF201" s="493"/>
      <c r="AG201" s="493"/>
      <c r="AH201" s="498"/>
      <c r="AI201" s="493"/>
      <c r="AJ201" s="493"/>
      <c r="AK201" s="493"/>
      <c r="AL201" s="493"/>
      <c r="AM201" s="493"/>
      <c r="AN201" s="493"/>
      <c r="AO201" s="493"/>
      <c r="AP201" s="498"/>
      <c r="AQ201" s="493"/>
      <c r="AR201" s="493"/>
      <c r="AS201" s="493"/>
      <c r="AT201" s="493"/>
      <c r="AU201" s="493"/>
      <c r="AV201" s="493"/>
      <c r="AW201" s="493"/>
      <c r="AX201" s="498"/>
      <c r="AY201" s="493"/>
      <c r="AZ201" s="493"/>
      <c r="BA201" s="493"/>
      <c r="BB201" s="493"/>
      <c r="BC201" s="493"/>
      <c r="BD201" s="493"/>
      <c r="BE201" s="493"/>
      <c r="BF201" s="498"/>
      <c r="BG201" s="493"/>
      <c r="BH201" s="493"/>
      <c r="BI201" s="493"/>
      <c r="BJ201" s="493"/>
      <c r="BK201" s="493"/>
      <c r="BL201" s="493"/>
    </row>
    <row r="202" spans="1:64" s="55" customFormat="1" ht="8.1" customHeight="1">
      <c r="A202" s="178"/>
      <c r="I202" s="493"/>
      <c r="J202" s="498"/>
      <c r="K202" s="493"/>
      <c r="L202" s="493"/>
      <c r="M202" s="493"/>
      <c r="N202" s="493"/>
      <c r="O202" s="493"/>
      <c r="P202" s="493"/>
      <c r="Q202" s="507"/>
      <c r="R202" s="492"/>
      <c r="S202" s="516"/>
      <c r="T202" s="517"/>
      <c r="U202" s="518"/>
      <c r="V202" s="517"/>
      <c r="W202" s="472"/>
      <c r="X202" s="472"/>
      <c r="Y202" s="493"/>
      <c r="Z202" s="498"/>
      <c r="AA202" s="493"/>
      <c r="AB202" s="493"/>
      <c r="AC202" s="493"/>
      <c r="AD202" s="493"/>
      <c r="AE202" s="493"/>
      <c r="AF202" s="493"/>
      <c r="AG202" s="493"/>
      <c r="AH202" s="498"/>
      <c r="AI202" s="493"/>
      <c r="AJ202" s="493"/>
      <c r="AK202" s="493"/>
      <c r="AL202" s="493"/>
      <c r="AM202" s="493"/>
      <c r="AN202" s="493"/>
      <c r="AO202" s="493"/>
      <c r="AP202" s="498"/>
      <c r="AQ202" s="493"/>
      <c r="AR202" s="493"/>
      <c r="AS202" s="493"/>
      <c r="AT202" s="493"/>
      <c r="AU202" s="493"/>
      <c r="AV202" s="493"/>
      <c r="AW202" s="493"/>
      <c r="AX202" s="498"/>
      <c r="AY202" s="493"/>
      <c r="AZ202" s="493"/>
      <c r="BA202" s="493"/>
      <c r="BB202" s="493"/>
      <c r="BC202" s="493"/>
      <c r="BD202" s="493"/>
      <c r="BE202" s="493"/>
      <c r="BF202" s="498"/>
      <c r="BG202" s="493"/>
      <c r="BH202" s="493"/>
      <c r="BI202" s="493"/>
      <c r="BJ202" s="493"/>
      <c r="BK202" s="493"/>
      <c r="BL202" s="493"/>
    </row>
    <row r="203" spans="1:64" s="55" customFormat="1" ht="8.1" customHeight="1">
      <c r="A203" s="178"/>
      <c r="B203" s="178"/>
      <c r="C203" s="13"/>
      <c r="D203" s="177"/>
      <c r="E203" s="180"/>
      <c r="F203" s="177"/>
      <c r="G203" s="177"/>
      <c r="H203" s="177"/>
      <c r="I203" s="493"/>
      <c r="J203" s="498"/>
      <c r="K203" s="493"/>
      <c r="L203" s="493"/>
      <c r="M203" s="493"/>
      <c r="N203" s="493"/>
      <c r="O203" s="493"/>
      <c r="P203" s="493"/>
      <c r="Q203" s="507"/>
      <c r="R203" s="492"/>
      <c r="S203" s="516"/>
      <c r="T203" s="517"/>
      <c r="U203" s="518"/>
      <c r="V203" s="517"/>
      <c r="W203" s="472"/>
      <c r="X203" s="472"/>
      <c r="Y203" s="493"/>
      <c r="Z203" s="498"/>
      <c r="AA203" s="493"/>
      <c r="AB203" s="493"/>
      <c r="AC203" s="493"/>
      <c r="AD203" s="493"/>
      <c r="AE203" s="493"/>
      <c r="AF203" s="493"/>
      <c r="AG203" s="493"/>
      <c r="AH203" s="498"/>
      <c r="AI203" s="493"/>
      <c r="AJ203" s="493"/>
      <c r="AK203" s="493"/>
      <c r="AL203" s="493"/>
      <c r="AM203" s="493"/>
      <c r="AN203" s="493"/>
      <c r="AO203" s="493"/>
      <c r="AP203" s="498"/>
      <c r="AQ203" s="493"/>
      <c r="AR203" s="493"/>
      <c r="AS203" s="493"/>
      <c r="AT203" s="493"/>
      <c r="AU203" s="493"/>
      <c r="AV203" s="493"/>
      <c r="AW203" s="493"/>
      <c r="AX203" s="498"/>
      <c r="AY203" s="493"/>
      <c r="AZ203" s="493"/>
      <c r="BA203" s="493"/>
      <c r="BB203" s="493"/>
      <c r="BC203" s="493"/>
      <c r="BD203" s="493"/>
      <c r="BE203" s="493"/>
      <c r="BF203" s="498"/>
      <c r="BG203" s="493"/>
      <c r="BH203" s="493"/>
      <c r="BI203" s="493"/>
      <c r="BJ203" s="493"/>
      <c r="BK203" s="493"/>
      <c r="BL203" s="493"/>
    </row>
    <row r="204" spans="1:64" s="55" customFormat="1" ht="8.1" customHeight="1">
      <c r="A204" s="178"/>
      <c r="B204" s="178"/>
      <c r="C204" s="13"/>
      <c r="D204" s="177"/>
      <c r="E204" s="180"/>
      <c r="F204" s="177"/>
      <c r="G204" s="177"/>
      <c r="H204" s="177"/>
      <c r="I204" s="493"/>
      <c r="J204" s="498"/>
      <c r="K204" s="493"/>
      <c r="L204" s="493"/>
      <c r="M204" s="493"/>
      <c r="N204" s="493"/>
      <c r="O204" s="493"/>
      <c r="P204" s="493"/>
      <c r="Q204" s="507"/>
      <c r="R204" s="492"/>
      <c r="S204" s="516"/>
      <c r="T204" s="517"/>
      <c r="U204" s="518"/>
      <c r="V204" s="517"/>
      <c r="W204" s="472"/>
      <c r="X204" s="472"/>
      <c r="Y204" s="493"/>
      <c r="Z204" s="498"/>
      <c r="AA204" s="493"/>
      <c r="AB204" s="493"/>
      <c r="AC204" s="493"/>
      <c r="AD204" s="493"/>
      <c r="AE204" s="493"/>
      <c r="AF204" s="493"/>
      <c r="AG204" s="493"/>
      <c r="AH204" s="498"/>
      <c r="AI204" s="493"/>
      <c r="AJ204" s="493"/>
      <c r="AK204" s="493"/>
      <c r="AL204" s="493"/>
      <c r="AM204" s="493"/>
      <c r="AN204" s="493"/>
      <c r="AO204" s="493"/>
      <c r="AP204" s="498"/>
      <c r="AQ204" s="493"/>
      <c r="AR204" s="493"/>
      <c r="AS204" s="493"/>
      <c r="AT204" s="493"/>
      <c r="AU204" s="493"/>
      <c r="AV204" s="493"/>
      <c r="AW204" s="317"/>
      <c r="AX204" s="498"/>
      <c r="AY204" s="493"/>
      <c r="AZ204" s="493"/>
      <c r="BA204" s="493"/>
      <c r="BB204" s="493"/>
      <c r="BC204" s="493"/>
      <c r="BD204" s="493"/>
      <c r="BE204" s="493"/>
      <c r="BF204" s="498"/>
      <c r="BG204" s="493"/>
      <c r="BH204" s="493"/>
      <c r="BI204" s="493"/>
      <c r="BJ204" s="493"/>
      <c r="BK204" s="493"/>
      <c r="BL204" s="493"/>
    </row>
    <row r="205" spans="1:64" s="55" customFormat="1" ht="8.1" customHeight="1">
      <c r="A205" s="178"/>
      <c r="B205" s="178"/>
      <c r="C205" s="13"/>
      <c r="D205" s="177"/>
      <c r="E205" s="180"/>
      <c r="F205" s="177"/>
      <c r="G205" s="177"/>
      <c r="H205" s="177"/>
      <c r="I205" s="493"/>
      <c r="J205" s="498"/>
      <c r="K205" s="493"/>
      <c r="L205" s="493"/>
      <c r="M205" s="493"/>
      <c r="N205" s="493"/>
      <c r="O205" s="493"/>
      <c r="P205" s="493"/>
      <c r="Q205" s="507"/>
      <c r="R205" s="492"/>
      <c r="S205" s="516"/>
      <c r="T205" s="517"/>
      <c r="U205" s="518"/>
      <c r="V205" s="517"/>
      <c r="W205" s="472"/>
      <c r="X205" s="472"/>
      <c r="Y205" s="493"/>
      <c r="Z205" s="498"/>
      <c r="AA205" s="493"/>
      <c r="AB205" s="493"/>
      <c r="AC205" s="493"/>
      <c r="AD205" s="493"/>
      <c r="AE205" s="493"/>
      <c r="AF205" s="493"/>
      <c r="AG205" s="493"/>
      <c r="AH205" s="498"/>
      <c r="AI205" s="493"/>
      <c r="AJ205" s="493"/>
      <c r="AK205" s="493"/>
      <c r="AL205" s="493"/>
      <c r="AM205" s="493"/>
      <c r="AN205" s="493"/>
      <c r="AO205" s="493"/>
      <c r="AP205" s="498"/>
      <c r="AQ205" s="493"/>
      <c r="AR205" s="493"/>
      <c r="AS205" s="493"/>
      <c r="AT205" s="493"/>
      <c r="AU205" s="493"/>
      <c r="AV205" s="493"/>
      <c r="AW205" s="317"/>
      <c r="AX205" s="494"/>
      <c r="AY205" s="317"/>
      <c r="AZ205" s="317"/>
      <c r="BA205" s="317"/>
      <c r="BB205" s="317"/>
      <c r="BC205" s="317"/>
      <c r="BD205" s="317"/>
      <c r="BE205" s="493"/>
      <c r="BF205" s="498"/>
      <c r="BG205" s="493"/>
      <c r="BH205" s="493"/>
      <c r="BI205" s="493"/>
      <c r="BJ205" s="493"/>
      <c r="BK205" s="493"/>
      <c r="BL205" s="493"/>
    </row>
    <row r="206" spans="1:64">
      <c r="BE206" s="493"/>
      <c r="BF206" s="498"/>
      <c r="BG206" s="493"/>
      <c r="BH206" s="493"/>
      <c r="BI206" s="493"/>
      <c r="BJ206" s="493"/>
      <c r="BK206" s="493"/>
      <c r="BL206" s="493"/>
    </row>
    <row r="207" spans="1:64">
      <c r="BE207" s="493"/>
      <c r="BF207" s="498"/>
      <c r="BG207" s="493"/>
      <c r="BH207" s="493"/>
      <c r="BI207" s="493"/>
      <c r="BJ207" s="493"/>
      <c r="BK207" s="493"/>
      <c r="BL207" s="493"/>
    </row>
    <row r="208" spans="1:64">
      <c r="BE208" s="493"/>
      <c r="BF208" s="498"/>
      <c r="BG208" s="493"/>
      <c r="BH208" s="493"/>
      <c r="BI208" s="493"/>
      <c r="BJ208" s="493"/>
      <c r="BK208" s="493"/>
      <c r="BL208" s="493"/>
    </row>
    <row r="209" spans="57:64">
      <c r="BE209" s="493"/>
      <c r="BF209" s="498"/>
      <c r="BG209" s="493"/>
      <c r="BH209" s="493"/>
      <c r="BI209" s="493"/>
      <c r="BJ209" s="493"/>
      <c r="BK209" s="493"/>
      <c r="BL209" s="493"/>
    </row>
  </sheetData>
  <mergeCells count="55">
    <mergeCell ref="A56:B56"/>
    <mergeCell ref="BI2:BI3"/>
    <mergeCell ref="BJ2:BJ3"/>
    <mergeCell ref="BK2:BL2"/>
    <mergeCell ref="AY1:BD1"/>
    <mergeCell ref="BE1:BI1"/>
    <mergeCell ref="BJ1:BL1"/>
    <mergeCell ref="AW2:AY3"/>
    <mergeCell ref="AZ2:AZ3"/>
    <mergeCell ref="BA2:BA3"/>
    <mergeCell ref="BB2:BB3"/>
    <mergeCell ref="BC2:BD2"/>
    <mergeCell ref="BE2:BG3"/>
    <mergeCell ref="BH2:BH3"/>
    <mergeCell ref="A1:H1"/>
    <mergeCell ref="I1:M1"/>
    <mergeCell ref="N1:P1"/>
    <mergeCell ref="S1:X1"/>
    <mergeCell ref="Y1:AC1"/>
    <mergeCell ref="AD1:AF1"/>
    <mergeCell ref="AI1:AN1"/>
    <mergeCell ref="AO1:AS1"/>
    <mergeCell ref="AT1:AV1"/>
    <mergeCell ref="A2:C3"/>
    <mergeCell ref="D2:D3"/>
    <mergeCell ref="E2:E3"/>
    <mergeCell ref="F2:F3"/>
    <mergeCell ref="G2:H2"/>
    <mergeCell ref="I2:K3"/>
    <mergeCell ref="L2:L3"/>
    <mergeCell ref="M2:M3"/>
    <mergeCell ref="N2:N3"/>
    <mergeCell ref="O2:P2"/>
    <mergeCell ref="Q2:S3"/>
    <mergeCell ref="T2:T3"/>
    <mergeCell ref="U2:U3"/>
    <mergeCell ref="AK2:AK3"/>
    <mergeCell ref="AL2:AL3"/>
    <mergeCell ref="AM2:AN2"/>
    <mergeCell ref="V2:V3"/>
    <mergeCell ref="W2:X2"/>
    <mergeCell ref="Y2:AA3"/>
    <mergeCell ref="AB2:AB3"/>
    <mergeCell ref="AC2:AC3"/>
    <mergeCell ref="AD2:AD3"/>
    <mergeCell ref="AO2:AQ3"/>
    <mergeCell ref="AR2:AR3"/>
    <mergeCell ref="AS2:AS3"/>
    <mergeCell ref="AT2:AT3"/>
    <mergeCell ref="AU2:AV2"/>
    <mergeCell ref="A4:C4"/>
    <mergeCell ref="F4:H4"/>
    <mergeCell ref="AE2:AF2"/>
    <mergeCell ref="AG2:AI3"/>
    <mergeCell ref="AJ2:AJ3"/>
  </mergeCells>
  <pageMargins left="0.62992125984252001" right="0.511811023622047" top="0.39370078740157499" bottom="0.511811023622047" header="0.25" footer="0"/>
  <pageSetup paperSize="512" firstPageNumber="56" orientation="portrait" useFirstPageNumber="1" r:id="rId1"/>
  <headerFooter alignWithMargins="0">
    <oddFooter>&amp;C&amp;"Times New Roman,Regular"&amp;8&amp;P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U58"/>
  <sheetViews>
    <sheetView zoomScale="130" zoomScaleNormal="130" workbookViewId="0">
      <pane xSplit="4" ySplit="4" topLeftCell="N32" activePane="bottomRight" state="frozen"/>
      <selection pane="topRight" activeCell="E1" sqref="E1"/>
      <selection pane="bottomLeft" activeCell="A5" sqref="A5"/>
      <selection pane="bottomRight" activeCell="F48" sqref="F48"/>
    </sheetView>
  </sheetViews>
  <sheetFormatPr defaultColWidth="9.140625" defaultRowHeight="12.75"/>
  <cols>
    <col min="1" max="1" width="2.28515625" style="789" customWidth="1"/>
    <col min="2" max="2" width="3" style="10" customWidth="1"/>
    <col min="3" max="3" width="2.85546875" style="61" customWidth="1"/>
    <col min="4" max="4" width="33.42578125" style="10" customWidth="1"/>
    <col min="5" max="5" width="7.140625" style="10" customWidth="1"/>
    <col min="6" max="6" width="7" style="10" customWidth="1"/>
    <col min="7" max="7" width="6.5703125" style="10" customWidth="1"/>
    <col min="8" max="9" width="7" style="10" customWidth="1"/>
    <col min="10" max="11" width="6.140625" style="10" customWidth="1"/>
    <col min="12" max="12" width="6.42578125" style="10" customWidth="1"/>
    <col min="13" max="13" width="6.28515625" style="10" customWidth="1"/>
    <col min="14" max="14" width="6.85546875" style="10" customWidth="1"/>
    <col min="15" max="15" width="7.28515625" style="10" customWidth="1"/>
    <col min="16" max="16" width="6.42578125" style="10" customWidth="1"/>
    <col min="17" max="17" width="6" style="10" customWidth="1"/>
    <col min="18" max="19" width="6.7109375" style="10" customWidth="1"/>
    <col min="20" max="20" width="5.7109375" style="10" customWidth="1"/>
    <col min="21" max="21" width="7.28515625" style="10" customWidth="1"/>
    <col min="22" max="16384" width="9.140625" style="10"/>
  </cols>
  <sheetData>
    <row r="1" spans="1:21" s="661" customFormat="1" ht="14.25" customHeight="1">
      <c r="A1" s="2084" t="s">
        <v>1909</v>
      </c>
      <c r="B1" s="2084"/>
      <c r="C1" s="2084"/>
      <c r="D1" s="2084"/>
      <c r="E1" s="2084"/>
      <c r="F1" s="2084"/>
      <c r="G1" s="2084"/>
      <c r="H1" s="2084"/>
      <c r="I1" s="2084"/>
      <c r="J1" s="2085" t="s">
        <v>1910</v>
      </c>
      <c r="K1" s="2085"/>
      <c r="L1" s="2085"/>
      <c r="M1" s="2085"/>
      <c r="N1" s="2085"/>
      <c r="O1" s="2085"/>
      <c r="P1" s="2085"/>
      <c r="Q1" s="2085"/>
      <c r="R1" s="2085"/>
      <c r="S1" s="2083" t="s">
        <v>2452</v>
      </c>
      <c r="T1" s="2083"/>
      <c r="U1" s="2083"/>
    </row>
    <row r="2" spans="1:21" s="5" customFormat="1" ht="6" customHeight="1">
      <c r="A2" s="781"/>
      <c r="B2" s="181"/>
      <c r="C2" s="181"/>
      <c r="D2" s="181"/>
      <c r="E2" s="181"/>
      <c r="F2" s="181"/>
      <c r="G2" s="181"/>
      <c r="H2" s="181"/>
      <c r="I2" s="182"/>
      <c r="J2" s="182"/>
      <c r="K2" s="182"/>
      <c r="L2" s="182"/>
      <c r="M2" s="182"/>
      <c r="N2" s="182"/>
      <c r="O2" s="182"/>
      <c r="P2" s="182"/>
      <c r="Q2" s="182"/>
      <c r="R2" s="182"/>
      <c r="S2" s="182"/>
      <c r="T2" s="182"/>
      <c r="U2" s="182"/>
    </row>
    <row r="3" spans="1:21" s="125" customFormat="1" ht="48" customHeight="1">
      <c r="A3" s="2086" t="s">
        <v>45</v>
      </c>
      <c r="B3" s="2087"/>
      <c r="C3" s="2087"/>
      <c r="D3" s="2088"/>
      <c r="E3" s="194" t="s">
        <v>1894</v>
      </c>
      <c r="F3" s="45" t="s">
        <v>1895</v>
      </c>
      <c r="G3" s="45" t="s">
        <v>1896</v>
      </c>
      <c r="H3" s="45" t="s">
        <v>1897</v>
      </c>
      <c r="I3" s="45" t="s">
        <v>1898</v>
      </c>
      <c r="J3" s="45" t="s">
        <v>1899</v>
      </c>
      <c r="K3" s="45" t="s">
        <v>1900</v>
      </c>
      <c r="L3" s="45" t="s">
        <v>1901</v>
      </c>
      <c r="M3" s="45" t="s">
        <v>1902</v>
      </c>
      <c r="N3" s="45" t="s">
        <v>1903</v>
      </c>
      <c r="O3" s="45" t="s">
        <v>1887</v>
      </c>
      <c r="P3" s="45" t="s">
        <v>1904</v>
      </c>
      <c r="Q3" s="45" t="s">
        <v>1905</v>
      </c>
      <c r="R3" s="45" t="s">
        <v>1906</v>
      </c>
      <c r="S3" s="195" t="s">
        <v>1907</v>
      </c>
      <c r="T3" s="251" t="s">
        <v>2550</v>
      </c>
      <c r="U3" s="251" t="s">
        <v>2551</v>
      </c>
    </row>
    <row r="4" spans="1:21" s="125" customFormat="1" ht="10.5" customHeight="1">
      <c r="A4" s="2089"/>
      <c r="B4" s="2090"/>
      <c r="C4" s="2090"/>
      <c r="D4" s="2091"/>
      <c r="E4" s="45">
        <v>1</v>
      </c>
      <c r="F4" s="45">
        <v>2</v>
      </c>
      <c r="G4" s="45">
        <v>3</v>
      </c>
      <c r="H4" s="45">
        <v>4</v>
      </c>
      <c r="I4" s="45">
        <v>5</v>
      </c>
      <c r="J4" s="45">
        <v>6</v>
      </c>
      <c r="K4" s="45">
        <v>7</v>
      </c>
      <c r="L4" s="45">
        <v>8</v>
      </c>
      <c r="M4" s="45">
        <v>9</v>
      </c>
      <c r="N4" s="45">
        <v>10</v>
      </c>
      <c r="O4" s="45">
        <v>11</v>
      </c>
      <c r="P4" s="45">
        <v>12</v>
      </c>
      <c r="Q4" s="45">
        <v>13</v>
      </c>
      <c r="R4" s="45">
        <v>14</v>
      </c>
      <c r="S4" s="45">
        <v>15</v>
      </c>
      <c r="T4" s="45">
        <v>16</v>
      </c>
      <c r="U4" s="45">
        <v>17</v>
      </c>
    </row>
    <row r="5" spans="1:21" s="78" customFormat="1" ht="13.5" customHeight="1">
      <c r="A5" s="782" t="s">
        <v>227</v>
      </c>
      <c r="B5" s="2074" t="s">
        <v>228</v>
      </c>
      <c r="C5" s="2074"/>
      <c r="D5" s="2074"/>
      <c r="E5" s="893">
        <v>7</v>
      </c>
      <c r="F5" s="893">
        <v>7.5</v>
      </c>
      <c r="G5" s="893">
        <v>8</v>
      </c>
      <c r="H5" s="893">
        <v>7</v>
      </c>
      <c r="I5" s="893">
        <v>6</v>
      </c>
      <c r="J5" s="893">
        <v>6</v>
      </c>
      <c r="K5" s="893">
        <v>6</v>
      </c>
      <c r="L5" s="893">
        <v>5</v>
      </c>
      <c r="M5" s="893">
        <v>5</v>
      </c>
      <c r="N5" s="893">
        <v>5</v>
      </c>
      <c r="O5" s="893">
        <v>5</v>
      </c>
      <c r="P5" s="893">
        <v>5</v>
      </c>
      <c r="Q5" s="893">
        <v>5</v>
      </c>
      <c r="R5" s="893">
        <v>5</v>
      </c>
      <c r="S5" s="893">
        <v>5</v>
      </c>
      <c r="T5" s="893">
        <v>5</v>
      </c>
      <c r="U5" s="893">
        <v>5</v>
      </c>
    </row>
    <row r="6" spans="1:21" s="744" customFormat="1" ht="13.5" customHeight="1">
      <c r="A6" s="783" t="s">
        <v>1158</v>
      </c>
      <c r="B6" s="2079" t="s">
        <v>1888</v>
      </c>
      <c r="C6" s="2079"/>
      <c r="D6" s="2079"/>
      <c r="E6" s="894"/>
      <c r="F6" s="894"/>
      <c r="G6" s="894"/>
      <c r="H6" s="894"/>
      <c r="I6" s="894"/>
      <c r="J6" s="894"/>
      <c r="K6" s="894"/>
      <c r="L6" s="894"/>
      <c r="M6" s="894"/>
      <c r="N6" s="894"/>
      <c r="O6" s="894"/>
      <c r="P6" s="894"/>
      <c r="Q6" s="894"/>
      <c r="R6" s="894"/>
      <c r="S6" s="894"/>
      <c r="T6" s="894"/>
      <c r="U6" s="894"/>
    </row>
    <row r="7" spans="1:21" s="744" customFormat="1" ht="12">
      <c r="A7" s="2074" t="s">
        <v>2028</v>
      </c>
      <c r="B7" s="2074"/>
      <c r="C7" s="2074"/>
      <c r="D7" s="2074"/>
      <c r="E7" s="893"/>
      <c r="F7" s="893"/>
      <c r="G7" s="893"/>
      <c r="H7" s="893"/>
      <c r="I7" s="893"/>
      <c r="J7" s="893"/>
      <c r="K7" s="893"/>
      <c r="L7" s="893"/>
      <c r="M7" s="893"/>
      <c r="N7" s="893"/>
      <c r="O7" s="893"/>
      <c r="P7" s="893"/>
      <c r="Q7" s="893"/>
      <c r="R7" s="893"/>
      <c r="S7" s="893"/>
      <c r="T7" s="893"/>
      <c r="U7" s="893"/>
    </row>
    <row r="8" spans="1:21" s="744" customFormat="1" ht="12" customHeight="1">
      <c r="A8" s="785"/>
      <c r="B8" s="2080" t="s">
        <v>1870</v>
      </c>
      <c r="C8" s="2080"/>
      <c r="D8" s="2080"/>
      <c r="E8" s="477">
        <v>8.5</v>
      </c>
      <c r="F8" s="477">
        <v>8.5</v>
      </c>
      <c r="G8" s="477">
        <v>8.5</v>
      </c>
      <c r="H8" s="477">
        <v>8.5</v>
      </c>
      <c r="I8" s="477">
        <v>8.5</v>
      </c>
      <c r="J8" s="477">
        <v>8.5</v>
      </c>
      <c r="K8" s="477">
        <v>8.5</v>
      </c>
      <c r="L8" s="477">
        <v>8.5</v>
      </c>
      <c r="M8" s="477">
        <v>7.5</v>
      </c>
      <c r="N8" s="477">
        <v>7.5</v>
      </c>
      <c r="O8" s="477">
        <v>7.5</v>
      </c>
      <c r="P8" s="477">
        <v>7.5</v>
      </c>
      <c r="Q8" s="477">
        <v>7.5</v>
      </c>
      <c r="R8" s="477">
        <v>7.5</v>
      </c>
      <c r="S8" s="477">
        <v>7.5</v>
      </c>
      <c r="T8" s="477">
        <v>7.5</v>
      </c>
      <c r="U8" s="477">
        <v>7.5</v>
      </c>
    </row>
    <row r="9" spans="1:21" s="745" customFormat="1" ht="13.5" customHeight="1">
      <c r="A9" s="793"/>
      <c r="B9" s="2082" t="s">
        <v>1880</v>
      </c>
      <c r="C9" s="2082"/>
      <c r="D9" s="2082"/>
      <c r="E9" s="895"/>
      <c r="F9" s="895"/>
      <c r="G9" s="895"/>
      <c r="H9" s="895"/>
      <c r="I9" s="895"/>
      <c r="J9" s="895"/>
      <c r="K9" s="895"/>
      <c r="L9" s="895"/>
      <c r="M9" s="895"/>
      <c r="N9" s="895"/>
      <c r="O9" s="895"/>
      <c r="P9" s="895"/>
      <c r="Q9" s="895"/>
      <c r="R9" s="895"/>
      <c r="S9" s="895"/>
      <c r="T9" s="895"/>
      <c r="U9" s="895"/>
    </row>
    <row r="10" spans="1:21" s="744" customFormat="1" ht="12.75" customHeight="1">
      <c r="A10" s="785"/>
      <c r="B10" s="747"/>
      <c r="C10" s="2075" t="s">
        <v>1879</v>
      </c>
      <c r="D10" s="2075"/>
      <c r="E10" s="477">
        <v>10.5</v>
      </c>
      <c r="F10" s="477">
        <v>10.5</v>
      </c>
      <c r="G10" s="477">
        <v>10.5</v>
      </c>
      <c r="H10" s="477">
        <v>10.5</v>
      </c>
      <c r="I10" s="477">
        <v>10.5</v>
      </c>
      <c r="J10" s="477">
        <v>10.5</v>
      </c>
      <c r="K10" s="477">
        <v>10.5</v>
      </c>
      <c r="L10" s="477">
        <v>10.5</v>
      </c>
      <c r="M10" s="477">
        <v>9.5</v>
      </c>
      <c r="N10" s="477">
        <v>9.5</v>
      </c>
      <c r="O10" s="477">
        <v>9.5</v>
      </c>
      <c r="P10" s="477">
        <v>9.5</v>
      </c>
      <c r="Q10" s="477">
        <v>9.5</v>
      </c>
      <c r="R10" s="477">
        <v>9.5</v>
      </c>
      <c r="S10" s="477">
        <v>10.4</v>
      </c>
      <c r="T10" s="477">
        <v>10.4</v>
      </c>
      <c r="U10" s="477">
        <v>10.4</v>
      </c>
    </row>
    <row r="11" spans="1:21" s="744" customFormat="1" ht="12.75" customHeight="1">
      <c r="A11" s="784"/>
      <c r="B11" s="752"/>
      <c r="C11" s="2076" t="s">
        <v>1878</v>
      </c>
      <c r="D11" s="2076"/>
      <c r="E11" s="579">
        <v>11.5</v>
      </c>
      <c r="F11" s="579">
        <v>11.5</v>
      </c>
      <c r="G11" s="579">
        <v>11.5</v>
      </c>
      <c r="H11" s="579">
        <v>11.5</v>
      </c>
      <c r="I11" s="579">
        <v>11.5</v>
      </c>
      <c r="J11" s="579">
        <v>11.5</v>
      </c>
      <c r="K11" s="579">
        <v>11.5</v>
      </c>
      <c r="L11" s="579">
        <v>11.5</v>
      </c>
      <c r="M11" s="579">
        <v>10.5</v>
      </c>
      <c r="N11" s="579">
        <v>10.5</v>
      </c>
      <c r="O11" s="579">
        <v>10.5</v>
      </c>
      <c r="P11" s="579">
        <v>10.5</v>
      </c>
      <c r="Q11" s="579">
        <v>10.5</v>
      </c>
      <c r="R11" s="579">
        <v>10.5</v>
      </c>
      <c r="S11" s="579">
        <v>11.4</v>
      </c>
      <c r="T11" s="579">
        <v>11.4</v>
      </c>
      <c r="U11" s="579">
        <v>11.4</v>
      </c>
    </row>
    <row r="12" spans="1:21" s="744" customFormat="1" ht="12.75" customHeight="1">
      <c r="A12" s="785"/>
      <c r="B12" s="747"/>
      <c r="C12" s="2075" t="s">
        <v>1877</v>
      </c>
      <c r="D12" s="2075"/>
      <c r="E12" s="477">
        <v>12.5</v>
      </c>
      <c r="F12" s="477">
        <v>12.5</v>
      </c>
      <c r="G12" s="477">
        <v>12.5</v>
      </c>
      <c r="H12" s="477">
        <v>12.5</v>
      </c>
      <c r="I12" s="477">
        <v>12.5</v>
      </c>
      <c r="J12" s="477">
        <v>12.5</v>
      </c>
      <c r="K12" s="477">
        <v>12.5</v>
      </c>
      <c r="L12" s="477">
        <v>12.5</v>
      </c>
      <c r="M12" s="477">
        <v>11.5</v>
      </c>
      <c r="N12" s="477">
        <v>11.5</v>
      </c>
      <c r="O12" s="477">
        <v>11.5</v>
      </c>
      <c r="P12" s="477">
        <v>11.5</v>
      </c>
      <c r="Q12" s="477">
        <v>11.5</v>
      </c>
      <c r="R12" s="477">
        <v>11.5</v>
      </c>
      <c r="S12" s="477" t="s">
        <v>2166</v>
      </c>
      <c r="T12" s="477" t="s">
        <v>2166</v>
      </c>
      <c r="U12" s="477" t="s">
        <v>2552</v>
      </c>
    </row>
    <row r="13" spans="1:21" s="745" customFormat="1" ht="12.75" customHeight="1">
      <c r="A13" s="793"/>
      <c r="B13" s="2082" t="s">
        <v>1873</v>
      </c>
      <c r="C13" s="2082"/>
      <c r="D13" s="2082"/>
      <c r="E13" s="895"/>
      <c r="F13" s="895"/>
      <c r="G13" s="895"/>
      <c r="H13" s="895"/>
      <c r="I13" s="895"/>
      <c r="J13" s="895"/>
      <c r="K13" s="895"/>
      <c r="L13" s="895"/>
      <c r="M13" s="895"/>
      <c r="N13" s="895"/>
      <c r="O13" s="895"/>
      <c r="P13" s="895"/>
      <c r="Q13" s="895"/>
      <c r="R13" s="895"/>
      <c r="S13" s="895"/>
      <c r="T13" s="895"/>
      <c r="U13" s="895"/>
    </row>
    <row r="14" spans="1:21" s="744" customFormat="1" ht="12.75" customHeight="1">
      <c r="A14" s="785"/>
      <c r="B14" s="747"/>
      <c r="C14" s="2080" t="s">
        <v>1879</v>
      </c>
      <c r="D14" s="2080"/>
      <c r="E14" s="477">
        <v>9.5</v>
      </c>
      <c r="F14" s="477">
        <v>9.5</v>
      </c>
      <c r="G14" s="477">
        <v>9.5</v>
      </c>
      <c r="H14" s="477">
        <v>9.5</v>
      </c>
      <c r="I14" s="477">
        <v>9.5</v>
      </c>
      <c r="J14" s="477">
        <v>9.5</v>
      </c>
      <c r="K14" s="477">
        <v>9.5</v>
      </c>
      <c r="L14" s="477">
        <v>9.5</v>
      </c>
      <c r="M14" s="477">
        <v>8.5</v>
      </c>
      <c r="N14" s="477">
        <v>8.5</v>
      </c>
      <c r="O14" s="477">
        <v>8.5</v>
      </c>
      <c r="P14" s="477">
        <v>8.5</v>
      </c>
      <c r="Q14" s="477">
        <v>8.5</v>
      </c>
      <c r="R14" s="477">
        <v>8.5</v>
      </c>
      <c r="S14" s="477">
        <v>10</v>
      </c>
      <c r="T14" s="477">
        <v>10</v>
      </c>
      <c r="U14" s="477">
        <v>10</v>
      </c>
    </row>
    <row r="15" spans="1:21" s="744" customFormat="1" ht="12.75" customHeight="1">
      <c r="A15" s="784"/>
      <c r="B15" s="752"/>
      <c r="C15" s="2081" t="s">
        <v>1878</v>
      </c>
      <c r="D15" s="2081"/>
      <c r="E15" s="579">
        <v>10</v>
      </c>
      <c r="F15" s="579">
        <v>10</v>
      </c>
      <c r="G15" s="579">
        <v>10</v>
      </c>
      <c r="H15" s="579">
        <v>10</v>
      </c>
      <c r="I15" s="579">
        <v>10</v>
      </c>
      <c r="J15" s="579">
        <v>10</v>
      </c>
      <c r="K15" s="579">
        <v>10</v>
      </c>
      <c r="L15" s="579">
        <v>10</v>
      </c>
      <c r="M15" s="579">
        <v>9</v>
      </c>
      <c r="N15" s="579">
        <v>9</v>
      </c>
      <c r="O15" s="579">
        <v>9</v>
      </c>
      <c r="P15" s="579">
        <v>9</v>
      </c>
      <c r="Q15" s="579">
        <v>9</v>
      </c>
      <c r="R15" s="579">
        <v>9</v>
      </c>
      <c r="S15" s="579">
        <v>10.5</v>
      </c>
      <c r="T15" s="579">
        <v>10.5</v>
      </c>
      <c r="U15" s="579">
        <v>10.5</v>
      </c>
    </row>
    <row r="16" spans="1:21" s="744" customFormat="1" ht="12.75" customHeight="1">
      <c r="A16" s="785"/>
      <c r="B16" s="747"/>
      <c r="C16" s="2080" t="s">
        <v>1877</v>
      </c>
      <c r="D16" s="2080"/>
      <c r="E16" s="477">
        <v>10.5</v>
      </c>
      <c r="F16" s="477">
        <v>10.5</v>
      </c>
      <c r="G16" s="477">
        <v>10.5</v>
      </c>
      <c r="H16" s="477">
        <v>10.5</v>
      </c>
      <c r="I16" s="477">
        <v>10.5</v>
      </c>
      <c r="J16" s="477">
        <v>10.5</v>
      </c>
      <c r="K16" s="477">
        <v>10.5</v>
      </c>
      <c r="L16" s="477">
        <v>10.5</v>
      </c>
      <c r="M16" s="477">
        <v>9.5</v>
      </c>
      <c r="N16" s="477">
        <v>9.5</v>
      </c>
      <c r="O16" s="477">
        <v>9.5</v>
      </c>
      <c r="P16" s="477">
        <v>9.5</v>
      </c>
      <c r="Q16" s="477">
        <v>9.5</v>
      </c>
      <c r="R16" s="477">
        <v>9.5</v>
      </c>
      <c r="S16" s="477">
        <v>11</v>
      </c>
      <c r="T16" s="477">
        <v>11</v>
      </c>
      <c r="U16" s="477">
        <v>11</v>
      </c>
    </row>
    <row r="17" spans="1:21" s="744" customFormat="1" ht="13.5" customHeight="1">
      <c r="A17" s="2095" t="s">
        <v>2029</v>
      </c>
      <c r="B17" s="2095"/>
      <c r="C17" s="2095"/>
      <c r="D17" s="2095"/>
      <c r="E17" s="522"/>
      <c r="F17" s="522"/>
      <c r="G17" s="522"/>
      <c r="H17" s="522"/>
      <c r="I17" s="522"/>
      <c r="J17" s="522"/>
      <c r="K17" s="522"/>
      <c r="L17" s="522"/>
      <c r="M17" s="522"/>
      <c r="N17" s="522"/>
      <c r="O17" s="531"/>
      <c r="P17" s="531"/>
      <c r="Q17" s="531"/>
      <c r="R17" s="531"/>
      <c r="S17" s="531"/>
      <c r="T17" s="531"/>
      <c r="U17" s="531"/>
    </row>
    <row r="18" spans="1:21" s="744" customFormat="1" ht="12" customHeight="1">
      <c r="A18" s="787"/>
      <c r="B18" s="2078" t="s">
        <v>1889</v>
      </c>
      <c r="C18" s="2078"/>
      <c r="D18" s="2078"/>
      <c r="E18" s="896" t="s">
        <v>1264</v>
      </c>
      <c r="F18" s="896" t="s">
        <v>1264</v>
      </c>
      <c r="G18" s="896" t="s">
        <v>1264</v>
      </c>
      <c r="H18" s="434">
        <v>13.5</v>
      </c>
      <c r="I18" s="434">
        <v>13.5</v>
      </c>
      <c r="J18" s="434">
        <v>12</v>
      </c>
      <c r="K18" s="434">
        <v>12</v>
      </c>
      <c r="L18" s="434">
        <v>12</v>
      </c>
      <c r="M18" s="434">
        <v>12</v>
      </c>
      <c r="N18" s="434">
        <v>11.5</v>
      </c>
      <c r="O18" s="434">
        <v>11.5</v>
      </c>
      <c r="P18" s="483">
        <v>10</v>
      </c>
      <c r="Q18" s="483">
        <v>10</v>
      </c>
      <c r="R18" s="483">
        <v>10</v>
      </c>
      <c r="S18" s="483" t="s">
        <v>2402</v>
      </c>
      <c r="T18" s="483" t="s">
        <v>2402</v>
      </c>
      <c r="U18" s="483" t="s">
        <v>2553</v>
      </c>
    </row>
    <row r="19" spans="1:21" s="744" customFormat="1" ht="12" customHeight="1">
      <c r="A19" s="786"/>
      <c r="B19" s="2077" t="s">
        <v>1890</v>
      </c>
      <c r="C19" s="2077"/>
      <c r="D19" s="2077"/>
      <c r="E19" s="522">
        <v>14.5</v>
      </c>
      <c r="F19" s="522">
        <v>14.5</v>
      </c>
      <c r="G19" s="522">
        <v>14.5</v>
      </c>
      <c r="H19" s="522">
        <v>14.5</v>
      </c>
      <c r="I19" s="522">
        <v>14.5</v>
      </c>
      <c r="J19" s="522">
        <v>12.5</v>
      </c>
      <c r="K19" s="522">
        <v>12.5</v>
      </c>
      <c r="L19" s="522">
        <v>12.5</v>
      </c>
      <c r="M19" s="522">
        <v>12.5</v>
      </c>
      <c r="N19" s="522">
        <v>12</v>
      </c>
      <c r="O19" s="522">
        <v>12</v>
      </c>
      <c r="P19" s="531">
        <v>10.5</v>
      </c>
      <c r="Q19" s="531">
        <v>10.5</v>
      </c>
      <c r="R19" s="531">
        <v>10.5</v>
      </c>
      <c r="S19" s="522" t="s">
        <v>2403</v>
      </c>
      <c r="T19" s="522" t="s">
        <v>2403</v>
      </c>
      <c r="U19" s="522" t="s">
        <v>2554</v>
      </c>
    </row>
    <row r="20" spans="1:21" s="744" customFormat="1" ht="12" customHeight="1">
      <c r="A20" s="787"/>
      <c r="B20" s="2094" t="s">
        <v>1891</v>
      </c>
      <c r="C20" s="2094"/>
      <c r="D20" s="2094"/>
      <c r="E20" s="896" t="s">
        <v>1264</v>
      </c>
      <c r="F20" s="896" t="s">
        <v>1264</v>
      </c>
      <c r="G20" s="896" t="s">
        <v>1264</v>
      </c>
      <c r="H20" s="896" t="s">
        <v>1264</v>
      </c>
      <c r="I20" s="896" t="s">
        <v>1264</v>
      </c>
      <c r="J20" s="896" t="s">
        <v>1264</v>
      </c>
      <c r="K20" s="896" t="s">
        <v>1264</v>
      </c>
      <c r="L20" s="896" t="s">
        <v>1264</v>
      </c>
      <c r="M20" s="896" t="s">
        <v>1264</v>
      </c>
      <c r="N20" s="701">
        <v>12.5</v>
      </c>
      <c r="O20" s="434">
        <v>12.5</v>
      </c>
      <c r="P20" s="434">
        <v>12.5</v>
      </c>
      <c r="Q20" s="483">
        <v>11</v>
      </c>
      <c r="R20" s="483">
        <v>11</v>
      </c>
      <c r="S20" s="483" t="s">
        <v>2403</v>
      </c>
      <c r="T20" s="483" t="s">
        <v>2403</v>
      </c>
      <c r="U20" s="483" t="s">
        <v>2555</v>
      </c>
    </row>
    <row r="21" spans="1:21" s="744" customFormat="1" ht="12.75" customHeight="1">
      <c r="A21" s="786"/>
      <c r="B21" s="2097" t="s">
        <v>1892</v>
      </c>
      <c r="C21" s="2097"/>
      <c r="D21" s="2097"/>
      <c r="E21" s="897" t="s">
        <v>1264</v>
      </c>
      <c r="F21" s="897" t="s">
        <v>1264</v>
      </c>
      <c r="G21" s="897" t="s">
        <v>1264</v>
      </c>
      <c r="H21" s="897" t="s">
        <v>1264</v>
      </c>
      <c r="I21" s="897" t="s">
        <v>1264</v>
      </c>
      <c r="J21" s="897" t="s">
        <v>1264</v>
      </c>
      <c r="K21" s="897" t="s">
        <v>1264</v>
      </c>
      <c r="L21" s="897" t="s">
        <v>1264</v>
      </c>
      <c r="M21" s="897" t="s">
        <v>1264</v>
      </c>
      <c r="N21" s="897" t="s">
        <v>1264</v>
      </c>
      <c r="O21" s="897" t="s">
        <v>1264</v>
      </c>
      <c r="P21" s="897" t="s">
        <v>1264</v>
      </c>
      <c r="Q21" s="531">
        <v>11.04</v>
      </c>
      <c r="R21" s="531">
        <v>11.04</v>
      </c>
      <c r="S21" s="530" t="s">
        <v>2404</v>
      </c>
      <c r="T21" s="530" t="s">
        <v>2404</v>
      </c>
      <c r="U21" s="530" t="s">
        <v>2556</v>
      </c>
    </row>
    <row r="22" spans="1:21" s="744" customFormat="1" ht="12.75" customHeight="1">
      <c r="A22" s="2096" t="s">
        <v>2016</v>
      </c>
      <c r="B22" s="2096"/>
      <c r="C22" s="2096"/>
      <c r="D22" s="2096"/>
      <c r="E22" s="325"/>
      <c r="F22" s="742"/>
      <c r="G22" s="323"/>
      <c r="H22" s="323"/>
      <c r="I22" s="323"/>
      <c r="J22" s="323"/>
      <c r="K22" s="790"/>
      <c r="L22" s="790"/>
      <c r="M22" s="790"/>
      <c r="N22" s="790"/>
      <c r="O22" s="790"/>
      <c r="P22" s="790"/>
      <c r="Q22" s="790"/>
      <c r="R22" s="790"/>
      <c r="S22" s="790"/>
      <c r="T22" s="790"/>
      <c r="U22" s="790"/>
    </row>
    <row r="23" spans="1:21" s="744" customFormat="1" ht="12.75" customHeight="1">
      <c r="A23" s="786"/>
      <c r="B23" s="754"/>
      <c r="C23" s="2066" t="s">
        <v>1863</v>
      </c>
      <c r="D23" s="2066"/>
      <c r="E23" s="780" t="s">
        <v>1862</v>
      </c>
      <c r="F23" s="780" t="s">
        <v>1862</v>
      </c>
      <c r="G23" s="780" t="s">
        <v>1862</v>
      </c>
      <c r="H23" s="780" t="s">
        <v>1862</v>
      </c>
      <c r="I23" s="780" t="s">
        <v>1862</v>
      </c>
      <c r="J23" s="780" t="s">
        <v>1862</v>
      </c>
      <c r="K23" s="780" t="s">
        <v>1862</v>
      </c>
      <c r="L23" s="780" t="s">
        <v>1862</v>
      </c>
      <c r="M23" s="780" t="s">
        <v>1862</v>
      </c>
      <c r="N23" s="780" t="s">
        <v>1862</v>
      </c>
      <c r="O23" s="780" t="s">
        <v>1862</v>
      </c>
      <c r="P23" s="780" t="s">
        <v>1862</v>
      </c>
      <c r="Q23" s="780" t="s">
        <v>1862</v>
      </c>
      <c r="R23" s="780" t="s">
        <v>1862</v>
      </c>
      <c r="S23" s="780" t="s">
        <v>1862</v>
      </c>
      <c r="T23" s="780" t="s">
        <v>1862</v>
      </c>
      <c r="U23" s="780" t="s">
        <v>1862</v>
      </c>
    </row>
    <row r="24" spans="1:21" s="744" customFormat="1" ht="12.75" customHeight="1">
      <c r="A24" s="787"/>
      <c r="B24" s="323"/>
      <c r="C24" s="2067" t="s">
        <v>1864</v>
      </c>
      <c r="D24" s="2067"/>
      <c r="E24" s="898">
        <v>9</v>
      </c>
      <c r="F24" s="806">
        <v>9</v>
      </c>
      <c r="G24" s="806">
        <v>9</v>
      </c>
      <c r="H24" s="806">
        <v>9</v>
      </c>
      <c r="I24" s="806">
        <v>9</v>
      </c>
      <c r="J24" s="806">
        <v>9</v>
      </c>
      <c r="K24" s="806">
        <v>9</v>
      </c>
      <c r="L24" s="806">
        <v>9</v>
      </c>
      <c r="M24" s="806">
        <v>9</v>
      </c>
      <c r="N24" s="806">
        <v>9</v>
      </c>
      <c r="O24" s="806">
        <v>9</v>
      </c>
      <c r="P24" s="806">
        <v>9</v>
      </c>
      <c r="Q24" s="806">
        <v>7.5</v>
      </c>
      <c r="R24" s="806">
        <v>8.5</v>
      </c>
      <c r="S24" s="806">
        <v>8.5</v>
      </c>
      <c r="T24" s="806">
        <v>8.6999999999999993</v>
      </c>
      <c r="U24" s="806">
        <v>8.6999999999999993</v>
      </c>
    </row>
    <row r="25" spans="1:21" s="744" customFormat="1" ht="12.75" customHeight="1">
      <c r="A25" s="786"/>
      <c r="B25" s="754"/>
      <c r="C25" s="2066" t="s">
        <v>1865</v>
      </c>
      <c r="D25" s="2066"/>
      <c r="E25" s="899">
        <v>10</v>
      </c>
      <c r="F25" s="540">
        <v>10</v>
      </c>
      <c r="G25" s="540">
        <v>10</v>
      </c>
      <c r="H25" s="540">
        <v>10</v>
      </c>
      <c r="I25" s="540">
        <v>10</v>
      </c>
      <c r="J25" s="540">
        <v>10</v>
      </c>
      <c r="K25" s="540">
        <v>10</v>
      </c>
      <c r="L25" s="540">
        <v>10</v>
      </c>
      <c r="M25" s="540">
        <v>10</v>
      </c>
      <c r="N25" s="540">
        <v>10</v>
      </c>
      <c r="O25" s="540">
        <v>10</v>
      </c>
      <c r="P25" s="540">
        <v>10</v>
      </c>
      <c r="Q25" s="540">
        <v>8.25</v>
      </c>
      <c r="R25" s="540">
        <v>9.25</v>
      </c>
      <c r="S25" s="540">
        <v>9.25</v>
      </c>
      <c r="T25" s="540">
        <v>9.4499999999999993</v>
      </c>
      <c r="U25" s="540">
        <v>9.4499999999999993</v>
      </c>
    </row>
    <row r="26" spans="1:21" s="744" customFormat="1" ht="12.75" customHeight="1">
      <c r="A26" s="787"/>
      <c r="B26" s="323"/>
      <c r="C26" s="2067" t="s">
        <v>1866</v>
      </c>
      <c r="D26" s="2067"/>
      <c r="E26" s="900">
        <v>11</v>
      </c>
      <c r="F26" s="806">
        <v>11</v>
      </c>
      <c r="G26" s="806">
        <v>11</v>
      </c>
      <c r="H26" s="806">
        <v>11</v>
      </c>
      <c r="I26" s="806">
        <v>11</v>
      </c>
      <c r="J26" s="806">
        <v>11</v>
      </c>
      <c r="K26" s="806">
        <v>11</v>
      </c>
      <c r="L26" s="806">
        <v>11</v>
      </c>
      <c r="M26" s="806">
        <v>11</v>
      </c>
      <c r="N26" s="806">
        <v>11</v>
      </c>
      <c r="O26" s="806">
        <v>11</v>
      </c>
      <c r="P26" s="806">
        <v>11</v>
      </c>
      <c r="Q26" s="806">
        <v>9</v>
      </c>
      <c r="R26" s="806">
        <v>10</v>
      </c>
      <c r="S26" s="806">
        <v>10</v>
      </c>
      <c r="T26" s="806">
        <v>10.199999999999999</v>
      </c>
      <c r="U26" s="806">
        <v>10.199999999999999</v>
      </c>
    </row>
    <row r="27" spans="1:21" s="744" customFormat="1" ht="12.75" customHeight="1">
      <c r="A27" s="786"/>
      <c r="B27" s="754"/>
      <c r="C27" s="2098" t="s">
        <v>1867</v>
      </c>
      <c r="D27" s="2098"/>
      <c r="E27" s="901">
        <v>12</v>
      </c>
      <c r="F27" s="537">
        <v>12</v>
      </c>
      <c r="G27" s="537">
        <v>12</v>
      </c>
      <c r="H27" s="537">
        <v>12</v>
      </c>
      <c r="I27" s="537">
        <v>12</v>
      </c>
      <c r="J27" s="537">
        <v>12</v>
      </c>
      <c r="K27" s="537">
        <v>12</v>
      </c>
      <c r="L27" s="537">
        <v>12</v>
      </c>
      <c r="M27" s="537">
        <v>12</v>
      </c>
      <c r="N27" s="537">
        <v>12</v>
      </c>
      <c r="O27" s="537">
        <v>12</v>
      </c>
      <c r="P27" s="537">
        <v>12</v>
      </c>
      <c r="Q27" s="537">
        <v>10.5</v>
      </c>
      <c r="R27" s="537">
        <v>11</v>
      </c>
      <c r="S27" s="537">
        <v>11</v>
      </c>
      <c r="T27" s="537">
        <v>11.2</v>
      </c>
      <c r="U27" s="537">
        <v>11.2</v>
      </c>
    </row>
    <row r="28" spans="1:21" s="750" customFormat="1" ht="12.75" customHeight="1">
      <c r="A28" s="787"/>
      <c r="B28" s="325"/>
      <c r="C28" s="2099" t="s">
        <v>1868</v>
      </c>
      <c r="D28" s="2099"/>
      <c r="E28" s="469">
        <v>12</v>
      </c>
      <c r="F28" s="43">
        <v>12</v>
      </c>
      <c r="G28" s="43">
        <v>12</v>
      </c>
      <c r="H28" s="43">
        <v>12</v>
      </c>
      <c r="I28" s="43">
        <v>12</v>
      </c>
      <c r="J28" s="43">
        <v>12</v>
      </c>
      <c r="K28" s="43">
        <v>12</v>
      </c>
      <c r="L28" s="43">
        <v>12</v>
      </c>
      <c r="M28" s="43">
        <v>12</v>
      </c>
      <c r="N28" s="43">
        <v>12</v>
      </c>
      <c r="O28" s="43">
        <v>12</v>
      </c>
      <c r="P28" s="43">
        <v>12</v>
      </c>
      <c r="Q28" s="43">
        <v>10.5</v>
      </c>
      <c r="R28" s="43" t="s">
        <v>2406</v>
      </c>
      <c r="S28" s="43" t="s">
        <v>2406</v>
      </c>
      <c r="T28" s="43" t="s">
        <v>2407</v>
      </c>
      <c r="U28" s="43" t="s">
        <v>2407</v>
      </c>
    </row>
    <row r="29" spans="1:21" s="744" customFormat="1" ht="13.5">
      <c r="A29" s="2092" t="s">
        <v>2017</v>
      </c>
      <c r="B29" s="2092"/>
      <c r="C29" s="2092"/>
      <c r="D29" s="2092"/>
      <c r="E29" s="633"/>
      <c r="F29" s="795"/>
      <c r="G29" s="751"/>
      <c r="H29" s="751"/>
      <c r="I29" s="751"/>
      <c r="J29" s="751"/>
      <c r="K29" s="751"/>
      <c r="L29" s="751"/>
      <c r="M29" s="751"/>
      <c r="N29" s="751"/>
      <c r="O29" s="753"/>
      <c r="P29" s="753"/>
      <c r="Q29" s="753"/>
      <c r="R29" s="753"/>
      <c r="S29" s="753"/>
      <c r="T29" s="753"/>
      <c r="U29" s="753"/>
    </row>
    <row r="30" spans="1:21" s="744" customFormat="1" ht="12.75" customHeight="1">
      <c r="A30" s="785"/>
      <c r="B30" s="747"/>
      <c r="C30" s="2065" t="s">
        <v>1874</v>
      </c>
      <c r="D30" s="2065"/>
      <c r="E30" s="746" t="s">
        <v>1264</v>
      </c>
      <c r="F30" s="746" t="s">
        <v>1264</v>
      </c>
      <c r="G30" s="746" t="s">
        <v>1264</v>
      </c>
      <c r="H30" s="746" t="s">
        <v>1264</v>
      </c>
      <c r="I30" s="746" t="s">
        <v>1264</v>
      </c>
      <c r="J30" s="746" t="s">
        <v>1264</v>
      </c>
      <c r="K30" s="791" t="s">
        <v>1860</v>
      </c>
      <c r="L30" s="791" t="s">
        <v>1860</v>
      </c>
      <c r="M30" s="791" t="s">
        <v>1860</v>
      </c>
      <c r="N30" s="791" t="s">
        <v>1860</v>
      </c>
      <c r="O30" s="791" t="s">
        <v>1860</v>
      </c>
      <c r="P30" s="791" t="s">
        <v>1860</v>
      </c>
      <c r="Q30" s="791" t="s">
        <v>1860</v>
      </c>
      <c r="R30" s="791" t="s">
        <v>1860</v>
      </c>
      <c r="S30" s="791" t="s">
        <v>1860</v>
      </c>
      <c r="T30" s="791" t="s">
        <v>1860</v>
      </c>
      <c r="U30" s="791" t="s">
        <v>1860</v>
      </c>
    </row>
    <row r="31" spans="1:21" s="744" customFormat="1" ht="12.75" customHeight="1">
      <c r="A31" s="784"/>
      <c r="B31" s="752"/>
      <c r="C31" s="2066" t="s">
        <v>1875</v>
      </c>
      <c r="D31" s="2066"/>
      <c r="E31" s="579" t="s">
        <v>1264</v>
      </c>
      <c r="F31" s="579" t="s">
        <v>1264</v>
      </c>
      <c r="G31" s="579" t="s">
        <v>1264</v>
      </c>
      <c r="H31" s="579" t="s">
        <v>1264</v>
      </c>
      <c r="I31" s="579" t="s">
        <v>1264</v>
      </c>
      <c r="J31" s="579" t="s">
        <v>1264</v>
      </c>
      <c r="K31" s="540">
        <v>6.5</v>
      </c>
      <c r="L31" s="540">
        <v>6.5</v>
      </c>
      <c r="M31" s="540">
        <v>6.5</v>
      </c>
      <c r="N31" s="540">
        <v>6.5</v>
      </c>
      <c r="O31" s="540">
        <v>6.5</v>
      </c>
      <c r="P31" s="540">
        <v>6.5</v>
      </c>
      <c r="Q31" s="540">
        <v>6.5</v>
      </c>
      <c r="R31" s="540">
        <v>6.5</v>
      </c>
      <c r="S31" s="540">
        <v>6.5</v>
      </c>
      <c r="T31" s="540">
        <v>6.5</v>
      </c>
      <c r="U31" s="540">
        <v>6.5</v>
      </c>
    </row>
    <row r="32" spans="1:21" s="744" customFormat="1" ht="12.75" customHeight="1">
      <c r="A32" s="785"/>
      <c r="B32" s="747"/>
      <c r="C32" s="2067" t="s">
        <v>1876</v>
      </c>
      <c r="D32" s="2067"/>
      <c r="E32" s="477" t="s">
        <v>1264</v>
      </c>
      <c r="F32" s="477" t="s">
        <v>1264</v>
      </c>
      <c r="G32" s="477" t="s">
        <v>1264</v>
      </c>
      <c r="H32" s="477" t="s">
        <v>1264</v>
      </c>
      <c r="I32" s="477" t="s">
        <v>1264</v>
      </c>
      <c r="J32" s="477" t="s">
        <v>1264</v>
      </c>
      <c r="K32" s="806">
        <v>7</v>
      </c>
      <c r="L32" s="806">
        <v>7</v>
      </c>
      <c r="M32" s="806">
        <v>7</v>
      </c>
      <c r="N32" s="806">
        <v>7</v>
      </c>
      <c r="O32" s="806">
        <v>7</v>
      </c>
      <c r="P32" s="806">
        <v>7</v>
      </c>
      <c r="Q32" s="806">
        <v>7</v>
      </c>
      <c r="R32" s="806">
        <v>7</v>
      </c>
      <c r="S32" s="806">
        <v>7</v>
      </c>
      <c r="T32" s="806">
        <v>7</v>
      </c>
      <c r="U32" s="806">
        <v>7</v>
      </c>
    </row>
    <row r="33" spans="1:21" s="744" customFormat="1" ht="12" customHeight="1">
      <c r="A33" s="784"/>
      <c r="B33" s="752"/>
      <c r="C33" s="2068" t="s">
        <v>1893</v>
      </c>
      <c r="D33" s="2068"/>
      <c r="E33" s="579" t="s">
        <v>1264</v>
      </c>
      <c r="F33" s="579" t="s">
        <v>1264</v>
      </c>
      <c r="G33" s="579" t="s">
        <v>1264</v>
      </c>
      <c r="H33" s="579" t="s">
        <v>1264</v>
      </c>
      <c r="I33" s="579" t="s">
        <v>1264</v>
      </c>
      <c r="J33" s="579" t="s">
        <v>1264</v>
      </c>
      <c r="K33" s="540">
        <v>7.5</v>
      </c>
      <c r="L33" s="540">
        <v>7.5</v>
      </c>
      <c r="M33" s="540">
        <v>7.5</v>
      </c>
      <c r="N33" s="540">
        <v>7.5</v>
      </c>
      <c r="O33" s="540">
        <v>7.5</v>
      </c>
      <c r="P33" s="540">
        <v>7.5</v>
      </c>
      <c r="Q33" s="540">
        <v>7.5</v>
      </c>
      <c r="R33" s="540">
        <v>7.5</v>
      </c>
      <c r="S33" s="540">
        <v>7.5</v>
      </c>
      <c r="T33" s="540">
        <v>7.5</v>
      </c>
      <c r="U33" s="540">
        <v>7.5</v>
      </c>
    </row>
    <row r="34" spans="1:21" s="323" customFormat="1">
      <c r="A34" s="2093" t="s">
        <v>2018</v>
      </c>
      <c r="B34" s="2093"/>
      <c r="C34" s="2093"/>
      <c r="D34" s="2093"/>
      <c r="E34" s="325"/>
      <c r="F34" s="742"/>
      <c r="K34" s="790"/>
      <c r="L34" s="790"/>
      <c r="M34" s="790"/>
      <c r="N34" s="790"/>
      <c r="O34" s="790"/>
      <c r="P34" s="790"/>
      <c r="Q34" s="790"/>
      <c r="R34" s="790"/>
      <c r="S34" s="790"/>
      <c r="T34" s="790"/>
      <c r="U34" s="790"/>
    </row>
    <row r="35" spans="1:21" s="323" customFormat="1" ht="12.75" customHeight="1">
      <c r="A35" s="788"/>
      <c r="B35" s="754"/>
      <c r="C35" s="2068" t="s">
        <v>1874</v>
      </c>
      <c r="D35" s="2068"/>
      <c r="E35" s="751" t="s">
        <v>1264</v>
      </c>
      <c r="F35" s="751" t="s">
        <v>1264</v>
      </c>
      <c r="G35" s="751" t="s">
        <v>1264</v>
      </c>
      <c r="H35" s="751" t="s">
        <v>1264</v>
      </c>
      <c r="I35" s="751" t="s">
        <v>1264</v>
      </c>
      <c r="J35" s="751" t="s">
        <v>1264</v>
      </c>
      <c r="K35" s="779" t="s">
        <v>1861</v>
      </c>
      <c r="L35" s="779" t="s">
        <v>1861</v>
      </c>
      <c r="M35" s="779" t="s">
        <v>1861</v>
      </c>
      <c r="N35" s="779" t="s">
        <v>1861</v>
      </c>
      <c r="O35" s="779" t="s">
        <v>1861</v>
      </c>
      <c r="P35" s="779" t="s">
        <v>1861</v>
      </c>
      <c r="Q35" s="779" t="s">
        <v>1861</v>
      </c>
      <c r="R35" s="779" t="s">
        <v>1861</v>
      </c>
      <c r="S35" s="779" t="s">
        <v>1861</v>
      </c>
      <c r="T35" s="779" t="s">
        <v>1861</v>
      </c>
      <c r="U35" s="779" t="s">
        <v>1861</v>
      </c>
    </row>
    <row r="36" spans="1:21" s="323" customFormat="1" ht="12.75" customHeight="1">
      <c r="A36" s="792"/>
      <c r="C36" s="2067" t="s">
        <v>1875</v>
      </c>
      <c r="D36" s="2067"/>
      <c r="E36" s="477" t="s">
        <v>1264</v>
      </c>
      <c r="F36" s="477" t="s">
        <v>1264</v>
      </c>
      <c r="G36" s="477" t="s">
        <v>1264</v>
      </c>
      <c r="H36" s="477" t="s">
        <v>1264</v>
      </c>
      <c r="I36" s="477" t="s">
        <v>1264</v>
      </c>
      <c r="J36" s="477" t="s">
        <v>1264</v>
      </c>
      <c r="K36" s="806">
        <v>5.5</v>
      </c>
      <c r="L36" s="806">
        <v>5.5</v>
      </c>
      <c r="M36" s="806">
        <v>5.5</v>
      </c>
      <c r="N36" s="806">
        <v>5.5</v>
      </c>
      <c r="O36" s="806">
        <v>5.5</v>
      </c>
      <c r="P36" s="806">
        <v>5.5</v>
      </c>
      <c r="Q36" s="806">
        <v>5.5</v>
      </c>
      <c r="R36" s="806">
        <v>5.5</v>
      </c>
      <c r="S36" s="806">
        <v>5.5</v>
      </c>
      <c r="T36" s="806">
        <v>5.5</v>
      </c>
      <c r="U36" s="806">
        <v>5.5</v>
      </c>
    </row>
    <row r="37" spans="1:21" s="323" customFormat="1" ht="12.75" customHeight="1">
      <c r="A37" s="788"/>
      <c r="B37" s="754"/>
      <c r="C37" s="2066" t="s">
        <v>1876</v>
      </c>
      <c r="D37" s="2066"/>
      <c r="E37" s="579" t="s">
        <v>1264</v>
      </c>
      <c r="F37" s="579" t="s">
        <v>1264</v>
      </c>
      <c r="G37" s="579" t="s">
        <v>1264</v>
      </c>
      <c r="H37" s="579" t="s">
        <v>1264</v>
      </c>
      <c r="I37" s="579" t="s">
        <v>1264</v>
      </c>
      <c r="J37" s="579" t="s">
        <v>1264</v>
      </c>
      <c r="K37" s="540">
        <v>6</v>
      </c>
      <c r="L37" s="540">
        <v>6</v>
      </c>
      <c r="M37" s="540">
        <v>6</v>
      </c>
      <c r="N37" s="540">
        <v>6</v>
      </c>
      <c r="O37" s="540">
        <v>6</v>
      </c>
      <c r="P37" s="540">
        <v>6</v>
      </c>
      <c r="Q37" s="540">
        <v>6</v>
      </c>
      <c r="R37" s="540">
        <v>6</v>
      </c>
      <c r="S37" s="540">
        <v>6</v>
      </c>
      <c r="T37" s="540">
        <v>6</v>
      </c>
      <c r="U37" s="540">
        <v>6</v>
      </c>
    </row>
    <row r="38" spans="1:21" s="323" customFormat="1" ht="12.75" customHeight="1">
      <c r="A38" s="792"/>
      <c r="C38" s="2073" t="s">
        <v>1893</v>
      </c>
      <c r="D38" s="2073"/>
      <c r="E38" s="477" t="s">
        <v>1264</v>
      </c>
      <c r="F38" s="477" t="s">
        <v>1264</v>
      </c>
      <c r="G38" s="477" t="s">
        <v>1264</v>
      </c>
      <c r="H38" s="477" t="s">
        <v>1264</v>
      </c>
      <c r="I38" s="477" t="s">
        <v>1264</v>
      </c>
      <c r="J38" s="477" t="s">
        <v>1264</v>
      </c>
      <c r="K38" s="806">
        <v>6.5</v>
      </c>
      <c r="L38" s="806">
        <v>6.5</v>
      </c>
      <c r="M38" s="806">
        <v>6.5</v>
      </c>
      <c r="N38" s="806">
        <v>6.5</v>
      </c>
      <c r="O38" s="806">
        <v>6.5</v>
      </c>
      <c r="P38" s="806">
        <v>6.5</v>
      </c>
      <c r="Q38" s="806">
        <v>6.5</v>
      </c>
      <c r="R38" s="806">
        <v>6.5</v>
      </c>
      <c r="S38" s="806">
        <v>6.5</v>
      </c>
      <c r="T38" s="806">
        <v>6.5</v>
      </c>
      <c r="U38" s="806">
        <v>6.5</v>
      </c>
    </row>
    <row r="39" spans="1:21" s="323" customFormat="1" ht="22.5" customHeight="1">
      <c r="A39" s="796" t="s">
        <v>229</v>
      </c>
      <c r="B39" s="2070" t="s">
        <v>1908</v>
      </c>
      <c r="C39" s="2070"/>
      <c r="D39" s="2070"/>
      <c r="E39" s="794" t="s">
        <v>231</v>
      </c>
      <c r="F39" s="794"/>
      <c r="G39" s="794"/>
      <c r="H39" s="794"/>
      <c r="I39" s="794"/>
      <c r="J39" s="794"/>
      <c r="K39" s="794"/>
      <c r="L39" s="794"/>
      <c r="M39" s="794"/>
      <c r="N39" s="794"/>
      <c r="O39" s="797"/>
      <c r="P39" s="797"/>
      <c r="Q39" s="797"/>
      <c r="R39" s="797"/>
      <c r="S39" s="797"/>
      <c r="T39" s="797"/>
      <c r="U39" s="797"/>
    </row>
    <row r="40" spans="1:21" s="323" customFormat="1" ht="13.5" customHeight="1">
      <c r="A40" s="785"/>
      <c r="B40" s="2072" t="s">
        <v>1871</v>
      </c>
      <c r="C40" s="2072"/>
      <c r="D40" s="2072"/>
      <c r="E40" s="746"/>
      <c r="F40" s="746"/>
      <c r="G40" s="746"/>
      <c r="H40" s="746"/>
      <c r="I40" s="746"/>
      <c r="J40" s="746"/>
      <c r="K40" s="746"/>
      <c r="L40" s="746"/>
      <c r="M40" s="746"/>
      <c r="N40" s="746"/>
      <c r="O40" s="748"/>
      <c r="P40" s="748"/>
      <c r="Q40" s="748"/>
      <c r="R40" s="748"/>
      <c r="S40" s="748"/>
      <c r="T40" s="748"/>
      <c r="U40" s="748"/>
    </row>
    <row r="41" spans="1:21" s="323" customFormat="1" ht="13.5" customHeight="1">
      <c r="A41" s="784"/>
      <c r="B41" s="752"/>
      <c r="C41" s="2071" t="s">
        <v>827</v>
      </c>
      <c r="D41" s="2071"/>
      <c r="E41" s="751" t="s">
        <v>1264</v>
      </c>
      <c r="F41" s="579">
        <v>13</v>
      </c>
      <c r="G41" s="579">
        <v>13</v>
      </c>
      <c r="H41" s="579">
        <v>13</v>
      </c>
      <c r="I41" s="579">
        <v>13</v>
      </c>
      <c r="J41" s="579">
        <v>13</v>
      </c>
      <c r="K41" s="579">
        <v>13</v>
      </c>
      <c r="L41" s="579">
        <v>13</v>
      </c>
      <c r="M41" s="579">
        <v>13</v>
      </c>
      <c r="N41" s="579">
        <v>13</v>
      </c>
      <c r="O41" s="526">
        <v>12</v>
      </c>
      <c r="P41" s="526">
        <v>12</v>
      </c>
      <c r="Q41" s="526">
        <v>12</v>
      </c>
      <c r="R41" s="526">
        <v>12</v>
      </c>
      <c r="S41" s="526">
        <v>12</v>
      </c>
      <c r="T41" s="526">
        <v>12</v>
      </c>
      <c r="U41" s="526">
        <v>12</v>
      </c>
    </row>
    <row r="42" spans="1:21" s="323" customFormat="1" ht="13.5" customHeight="1">
      <c r="A42" s="785"/>
      <c r="B42" s="747"/>
      <c r="C42" s="2069" t="s">
        <v>826</v>
      </c>
      <c r="D42" s="2069"/>
      <c r="E42" s="746" t="s">
        <v>1264</v>
      </c>
      <c r="F42" s="477">
        <v>15</v>
      </c>
      <c r="G42" s="477">
        <v>15</v>
      </c>
      <c r="H42" s="477">
        <v>15</v>
      </c>
      <c r="I42" s="477">
        <v>15</v>
      </c>
      <c r="J42" s="477">
        <v>15</v>
      </c>
      <c r="K42" s="477">
        <v>15</v>
      </c>
      <c r="L42" s="477">
        <v>15</v>
      </c>
      <c r="M42" s="477">
        <v>15</v>
      </c>
      <c r="N42" s="477">
        <v>15</v>
      </c>
      <c r="O42" s="438">
        <v>12</v>
      </c>
      <c r="P42" s="438">
        <v>12</v>
      </c>
      <c r="Q42" s="438">
        <v>12</v>
      </c>
      <c r="R42" s="438">
        <v>12</v>
      </c>
      <c r="S42" s="438">
        <v>12</v>
      </c>
      <c r="T42" s="438">
        <v>12</v>
      </c>
      <c r="U42" s="438">
        <v>12</v>
      </c>
    </row>
    <row r="43" spans="1:21" s="323" customFormat="1" ht="13.5" customHeight="1" thickBot="1">
      <c r="A43" s="798"/>
      <c r="B43" s="2064" t="s">
        <v>1872</v>
      </c>
      <c r="C43" s="2064"/>
      <c r="D43" s="2064"/>
      <c r="E43" s="799" t="s">
        <v>1264</v>
      </c>
      <c r="F43" s="648">
        <v>10</v>
      </c>
      <c r="G43" s="648">
        <v>10</v>
      </c>
      <c r="H43" s="648">
        <v>10</v>
      </c>
      <c r="I43" s="648">
        <v>10</v>
      </c>
      <c r="J43" s="648">
        <v>10</v>
      </c>
      <c r="K43" s="648">
        <v>10</v>
      </c>
      <c r="L43" s="648">
        <v>10</v>
      </c>
      <c r="M43" s="648">
        <v>10</v>
      </c>
      <c r="N43" s="648">
        <v>10</v>
      </c>
      <c r="O43" s="886">
        <v>10</v>
      </c>
      <c r="P43" s="886">
        <v>10</v>
      </c>
      <c r="Q43" s="886">
        <v>10</v>
      </c>
      <c r="R43" s="886">
        <v>10</v>
      </c>
      <c r="S43" s="886">
        <v>10</v>
      </c>
      <c r="T43" s="886">
        <v>10</v>
      </c>
      <c r="U43" s="886">
        <v>10</v>
      </c>
    </row>
    <row r="44" spans="1:21" s="325" customFormat="1" ht="10.5" customHeight="1">
      <c r="A44" s="800" t="s">
        <v>52</v>
      </c>
      <c r="B44" s="515"/>
      <c r="C44" s="2063" t="s">
        <v>2022</v>
      </c>
      <c r="D44" s="2063"/>
      <c r="E44" s="2063"/>
      <c r="F44" s="891"/>
      <c r="G44" s="891"/>
      <c r="H44" s="891"/>
      <c r="I44" s="891"/>
      <c r="K44" s="804" t="s">
        <v>2399</v>
      </c>
      <c r="L44" s="891"/>
      <c r="M44" s="891"/>
      <c r="N44" s="514"/>
      <c r="O44" s="802"/>
      <c r="P44" s="749"/>
      <c r="Q44" s="749"/>
      <c r="R44" s="749"/>
      <c r="S44" s="749"/>
      <c r="T44" s="749"/>
      <c r="U44" s="749"/>
    </row>
    <row r="45" spans="1:21" s="514" customFormat="1" ht="9.75" customHeight="1">
      <c r="A45" s="800"/>
      <c r="B45" s="515"/>
      <c r="C45" s="2063" t="s">
        <v>2023</v>
      </c>
      <c r="D45" s="2063"/>
      <c r="E45" s="2063"/>
      <c r="F45" s="2063"/>
      <c r="G45" s="2063"/>
      <c r="H45" s="2063"/>
      <c r="I45" s="2063"/>
      <c r="K45" s="804" t="s">
        <v>2401</v>
      </c>
      <c r="L45" s="229"/>
      <c r="M45" s="18"/>
      <c r="N45" s="229"/>
      <c r="O45" s="229"/>
      <c r="P45" s="802"/>
    </row>
    <row r="46" spans="1:21" s="514" customFormat="1" ht="9.75" customHeight="1">
      <c r="A46" s="801"/>
      <c r="B46" s="515"/>
      <c r="C46" s="2063" t="s">
        <v>2021</v>
      </c>
      <c r="D46" s="2063"/>
      <c r="E46" s="2063"/>
      <c r="G46" s="802"/>
      <c r="H46" s="802"/>
      <c r="I46" s="802"/>
      <c r="K46" s="804" t="s">
        <v>2400</v>
      </c>
      <c r="L46" s="802"/>
    </row>
    <row r="47" spans="1:21" s="514" customFormat="1" ht="9.75" customHeight="1">
      <c r="A47" s="801"/>
      <c r="B47" s="515"/>
      <c r="C47" s="229" t="s">
        <v>1087</v>
      </c>
      <c r="H47" s="802"/>
      <c r="I47" s="802"/>
      <c r="J47" s="802"/>
      <c r="K47" s="804" t="s">
        <v>2405</v>
      </c>
    </row>
    <row r="48" spans="1:21" s="18" customFormat="1" ht="9.75" customHeight="1">
      <c r="A48" s="1495" t="s">
        <v>770</v>
      </c>
      <c r="C48" s="18" t="s">
        <v>2877</v>
      </c>
      <c r="H48" s="229"/>
      <c r="I48" s="229"/>
      <c r="J48" s="229"/>
      <c r="K48" s="804" t="s">
        <v>2408</v>
      </c>
    </row>
    <row r="49" spans="1:10" s="18" customFormat="1" ht="9.75" customHeight="1">
      <c r="A49" s="803"/>
      <c r="D49" s="229"/>
      <c r="E49" s="229"/>
      <c r="F49" s="229"/>
      <c r="G49" s="229"/>
      <c r="H49" s="229"/>
      <c r="I49" s="229"/>
      <c r="J49" s="229"/>
    </row>
    <row r="55" spans="1:10">
      <c r="B55" s="769"/>
      <c r="C55" s="772"/>
      <c r="D55" s="773"/>
      <c r="E55" s="765"/>
      <c r="F55" s="766"/>
      <c r="G55" s="767"/>
      <c r="H55" s="768"/>
      <c r="I55" s="767"/>
      <c r="J55" s="767"/>
    </row>
    <row r="56" spans="1:10">
      <c r="B56" s="774"/>
      <c r="C56" s="772"/>
      <c r="D56" s="775"/>
      <c r="E56" s="765"/>
      <c r="F56" s="776"/>
      <c r="G56" s="767"/>
      <c r="H56" s="768"/>
      <c r="I56" s="776"/>
      <c r="J56" s="776"/>
    </row>
    <row r="57" spans="1:10">
      <c r="B57" s="777"/>
      <c r="C57" s="777"/>
      <c r="D57" s="771"/>
      <c r="E57" s="777"/>
      <c r="F57" s="778"/>
      <c r="G57" s="777"/>
      <c r="H57" s="777"/>
      <c r="I57" s="777"/>
      <c r="J57" s="777"/>
    </row>
    <row r="58" spans="1:10">
      <c r="B58" s="770"/>
      <c r="C58" s="777"/>
      <c r="D58" s="771"/>
      <c r="E58" s="777"/>
      <c r="F58" s="778"/>
      <c r="G58" s="777"/>
      <c r="H58" s="777"/>
      <c r="I58" s="777"/>
      <c r="J58" s="777"/>
    </row>
  </sheetData>
  <mergeCells count="46">
    <mergeCell ref="A29:D29"/>
    <mergeCell ref="A34:D34"/>
    <mergeCell ref="B20:D20"/>
    <mergeCell ref="C12:D12"/>
    <mergeCell ref="B13:D13"/>
    <mergeCell ref="A17:D17"/>
    <mergeCell ref="A22:D22"/>
    <mergeCell ref="B21:D21"/>
    <mergeCell ref="C25:D25"/>
    <mergeCell ref="C26:D26"/>
    <mergeCell ref="C27:D27"/>
    <mergeCell ref="C28:D28"/>
    <mergeCell ref="B9:D9"/>
    <mergeCell ref="S1:U1"/>
    <mergeCell ref="A1:I1"/>
    <mergeCell ref="J1:R1"/>
    <mergeCell ref="A3:D4"/>
    <mergeCell ref="B8:D8"/>
    <mergeCell ref="C46:E46"/>
    <mergeCell ref="B40:D40"/>
    <mergeCell ref="C38:D38"/>
    <mergeCell ref="B5:D5"/>
    <mergeCell ref="C10:D10"/>
    <mergeCell ref="C11:D11"/>
    <mergeCell ref="B19:D19"/>
    <mergeCell ref="C33:D33"/>
    <mergeCell ref="B18:D18"/>
    <mergeCell ref="B6:D6"/>
    <mergeCell ref="C14:D14"/>
    <mergeCell ref="C24:D24"/>
    <mergeCell ref="C15:D15"/>
    <mergeCell ref="C16:D16"/>
    <mergeCell ref="C23:D23"/>
    <mergeCell ref="A7:D7"/>
    <mergeCell ref="C45:I45"/>
    <mergeCell ref="B43:D43"/>
    <mergeCell ref="C30:D30"/>
    <mergeCell ref="C31:D31"/>
    <mergeCell ref="C32:D32"/>
    <mergeCell ref="C37:D37"/>
    <mergeCell ref="C35:D35"/>
    <mergeCell ref="C36:D36"/>
    <mergeCell ref="C42:D42"/>
    <mergeCell ref="B39:D39"/>
    <mergeCell ref="C44:E44"/>
    <mergeCell ref="C41:D41"/>
  </mergeCells>
  <phoneticPr fontId="0" type="noConversion"/>
  <pageMargins left="0.511811023622047" right="0.511811023622047" top="0.511811023622047" bottom="0.511811023622047" header="0" footer="0.43307086614173201"/>
  <pageSetup paperSize="512" firstPageNumber="64" orientation="portrait" useFirstPageNumber="1" r:id="rId1"/>
  <headerFooter alignWithMargins="0">
    <oddFooter>&amp;C&amp;"Times New Roman,Regular"&amp;8&amp;P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BK51"/>
  <sheetViews>
    <sheetView zoomScale="120" zoomScaleNormal="120" workbookViewId="0">
      <pane xSplit="2" ySplit="5" topLeftCell="BE42" activePane="bottomRight" state="frozen"/>
      <selection pane="topRight" activeCell="C1" sqref="C1"/>
      <selection pane="bottomLeft" activeCell="A6" sqref="A6"/>
      <selection pane="bottomRight" activeCell="C4" sqref="A4:XFD4"/>
    </sheetView>
  </sheetViews>
  <sheetFormatPr defaultColWidth="9.140625" defaultRowHeight="11.25"/>
  <cols>
    <col min="1" max="1" width="3" style="10" customWidth="1"/>
    <col min="2" max="2" width="16.28515625" style="18" customWidth="1"/>
    <col min="3" max="3" width="7.7109375" style="10" customWidth="1"/>
    <col min="4" max="4" width="7.42578125" style="10" customWidth="1"/>
    <col min="5" max="5" width="7.140625" style="10" customWidth="1"/>
    <col min="6" max="9" width="7.85546875" style="10" customWidth="1"/>
    <col min="10" max="10" width="7.7109375" style="10" customWidth="1"/>
    <col min="11" max="11" width="8.5703125" style="10" customWidth="1"/>
    <col min="12" max="12" width="8.85546875" style="10" bestFit="1" customWidth="1"/>
    <col min="13" max="13" width="8.140625" style="10" customWidth="1"/>
    <col min="14" max="14" width="7.5703125" style="10" customWidth="1"/>
    <col min="15" max="15" width="8.85546875" style="10" bestFit="1" customWidth="1"/>
    <col min="16" max="16" width="8" style="10" customWidth="1"/>
    <col min="17" max="17" width="6.5703125" style="10" customWidth="1"/>
    <col min="18" max="18" width="4.140625" style="10" customWidth="1"/>
    <col min="19" max="19" width="18" style="18" customWidth="1"/>
    <col min="20" max="20" width="6.7109375" style="10" customWidth="1"/>
    <col min="21" max="21" width="15.5703125" style="18" customWidth="1"/>
    <col min="22" max="22" width="10" style="10" customWidth="1"/>
    <col min="23" max="23" width="8.42578125" style="10" customWidth="1"/>
    <col min="24" max="24" width="10.42578125" style="10" customWidth="1"/>
    <col min="25" max="25" width="9.85546875" style="10" customWidth="1"/>
    <col min="26" max="27" width="9.7109375" style="10" customWidth="1"/>
    <col min="28" max="28" width="10.5703125" style="10" customWidth="1"/>
    <col min="29" max="30" width="9.28515625" style="10" customWidth="1"/>
    <col min="31" max="31" width="11.85546875" style="10" customWidth="1"/>
    <col min="32" max="32" width="10.140625" style="10" customWidth="1"/>
    <col min="33" max="33" width="9.7109375" style="10" customWidth="1"/>
    <col min="34" max="34" width="3" style="10" customWidth="1"/>
    <col min="35" max="35" width="16.42578125" style="18" customWidth="1"/>
    <col min="36" max="36" width="3" style="10" customWidth="1"/>
    <col min="37" max="37" width="16.5703125" style="18" customWidth="1"/>
    <col min="38" max="38" width="9.140625" style="10" customWidth="1"/>
    <col min="39" max="39" width="10" style="10" customWidth="1"/>
    <col min="40" max="40" width="9.28515625" style="10" customWidth="1"/>
    <col min="41" max="41" width="9" style="10" customWidth="1"/>
    <col min="42" max="42" width="10.42578125" style="10" customWidth="1"/>
    <col min="43" max="43" width="10" style="10" customWidth="1"/>
    <col min="44" max="44" width="10.140625" style="10" customWidth="1"/>
    <col min="45" max="45" width="8.7109375" style="10" customWidth="1"/>
    <col min="46" max="46" width="11.42578125" style="10" customWidth="1"/>
    <col min="47" max="47" width="9.85546875" style="10" customWidth="1"/>
    <col min="48" max="48" width="9.5703125" style="10" customWidth="1"/>
    <col min="49" max="49" width="11.5703125" style="10" customWidth="1"/>
    <col min="50" max="50" width="3" style="10" customWidth="1"/>
    <col min="51" max="51" width="15.42578125" style="18" customWidth="1"/>
    <col min="52" max="52" width="3" style="10" customWidth="1"/>
    <col min="53" max="53" width="18" style="18" customWidth="1"/>
    <col min="54" max="54" width="13.5703125" style="10" customWidth="1"/>
    <col min="55" max="55" width="13.85546875" style="10" customWidth="1"/>
    <col min="56" max="56" width="15.42578125" style="10" customWidth="1"/>
    <col min="57" max="57" width="14.28515625" style="10" customWidth="1"/>
    <col min="58" max="58" width="15.7109375" style="10" customWidth="1"/>
    <col min="59" max="60" width="14.28515625" style="10" customWidth="1"/>
    <col min="61" max="61" width="13" style="10" customWidth="1"/>
    <col min="62" max="62" width="3" style="10" customWidth="1"/>
    <col min="63" max="63" width="16.7109375" style="18" customWidth="1"/>
    <col min="64" max="16384" width="9.140625" style="10"/>
  </cols>
  <sheetData>
    <row r="1" spans="1:63" s="2" customFormat="1" ht="13.5" customHeight="1">
      <c r="B1" s="2103" t="s">
        <v>1785</v>
      </c>
      <c r="C1" s="2103"/>
      <c r="D1" s="2103"/>
      <c r="E1" s="2103"/>
      <c r="F1" s="2103"/>
      <c r="G1" s="2103"/>
      <c r="H1" s="2103"/>
      <c r="I1" s="2103"/>
      <c r="J1" s="2103"/>
      <c r="K1" s="2107" t="s">
        <v>2970</v>
      </c>
      <c r="L1" s="2107"/>
      <c r="M1" s="2107"/>
      <c r="N1" s="2107"/>
      <c r="O1" s="2107"/>
      <c r="P1" s="2107"/>
      <c r="Q1" s="2107"/>
      <c r="R1" s="2103" t="s">
        <v>2453</v>
      </c>
      <c r="S1" s="2103"/>
      <c r="T1" s="2103" t="s">
        <v>2412</v>
      </c>
      <c r="U1" s="2103"/>
      <c r="V1" s="2103"/>
      <c r="W1" s="2103"/>
      <c r="X1" s="2103"/>
      <c r="Y1" s="2103"/>
      <c r="Z1" s="2103"/>
      <c r="AA1" s="2103"/>
      <c r="AB1" s="2107" t="s">
        <v>2970</v>
      </c>
      <c r="AC1" s="2107"/>
      <c r="AD1" s="2107"/>
      <c r="AE1" s="2107"/>
      <c r="AF1" s="2107"/>
      <c r="AG1" s="2107"/>
      <c r="AH1" s="2103" t="s">
        <v>2453</v>
      </c>
      <c r="AI1" s="2103"/>
      <c r="AJ1" s="2103" t="s">
        <v>2266</v>
      </c>
      <c r="AK1" s="2103"/>
      <c r="AL1" s="2103"/>
      <c r="AM1" s="2103"/>
      <c r="AN1" s="2103"/>
      <c r="AO1" s="2103"/>
      <c r="AP1" s="2103"/>
      <c r="AQ1" s="2103"/>
      <c r="AR1" s="2107" t="s">
        <v>2970</v>
      </c>
      <c r="AS1" s="2107"/>
      <c r="AT1" s="2107"/>
      <c r="AU1" s="2107"/>
      <c r="AV1" s="2107"/>
      <c r="AW1" s="2107"/>
      <c r="AX1" s="2103" t="s">
        <v>2453</v>
      </c>
      <c r="AY1" s="2103"/>
      <c r="BA1" s="232"/>
      <c r="BB1" s="2103" t="s">
        <v>1785</v>
      </c>
      <c r="BC1" s="2103"/>
      <c r="BD1" s="2103"/>
      <c r="BE1" s="2103"/>
      <c r="BF1" s="2112" t="s">
        <v>2971</v>
      </c>
      <c r="BG1" s="2112"/>
      <c r="BH1" s="2112"/>
      <c r="BI1" s="2112"/>
      <c r="BJ1" s="2103" t="s">
        <v>2454</v>
      </c>
      <c r="BK1" s="2103"/>
    </row>
    <row r="2" spans="1:63" ht="11.25" customHeight="1">
      <c r="C2" s="185"/>
      <c r="D2" s="185"/>
      <c r="E2" s="185"/>
      <c r="F2" s="185"/>
      <c r="G2" s="185"/>
      <c r="H2" s="185"/>
      <c r="I2" s="185"/>
      <c r="J2" s="185"/>
      <c r="K2" s="2104"/>
      <c r="L2" s="2104"/>
      <c r="M2" s="79"/>
      <c r="N2" s="79"/>
      <c r="O2" s="79"/>
      <c r="P2" s="79"/>
      <c r="R2" s="233"/>
      <c r="S2" s="225" t="s">
        <v>1159</v>
      </c>
      <c r="X2" s="2114"/>
      <c r="Y2" s="2114"/>
      <c r="Z2" s="22"/>
      <c r="AA2" s="22"/>
      <c r="AB2" s="22"/>
      <c r="AC2" s="22"/>
      <c r="AD2" s="22"/>
      <c r="AE2" s="22"/>
      <c r="AF2" s="22"/>
      <c r="AG2" s="79"/>
      <c r="AH2" s="233"/>
      <c r="AI2" s="225" t="s">
        <v>1159</v>
      </c>
      <c r="AJ2" s="233"/>
      <c r="AK2" s="225"/>
      <c r="AM2" s="185"/>
      <c r="AN2" s="185"/>
      <c r="AO2" s="62"/>
      <c r="AP2" s="22"/>
      <c r="AQ2" s="22"/>
      <c r="AR2" s="22"/>
      <c r="AS2" s="22"/>
      <c r="AT2" s="22"/>
      <c r="AU2" s="22"/>
      <c r="AV2" s="22"/>
      <c r="AW2" s="79"/>
      <c r="AX2" s="233"/>
      <c r="AY2" s="225" t="s">
        <v>1159</v>
      </c>
      <c r="BB2" s="185"/>
      <c r="BC2" s="185"/>
      <c r="BD2" s="2113"/>
      <c r="BE2" s="2113"/>
      <c r="BF2" s="2104"/>
      <c r="BG2" s="2104"/>
      <c r="BH2" s="2104"/>
      <c r="BI2" s="79"/>
      <c r="BJ2" s="233"/>
      <c r="BK2" s="225" t="s">
        <v>1159</v>
      </c>
    </row>
    <row r="3" spans="1:63" s="263" customFormat="1" ht="13.5" customHeight="1">
      <c r="A3" s="1783" t="s">
        <v>387</v>
      </c>
      <c r="B3" s="1784"/>
      <c r="C3" s="2109" t="s">
        <v>255</v>
      </c>
      <c r="D3" s="2110"/>
      <c r="E3" s="2110"/>
      <c r="F3" s="2110"/>
      <c r="G3" s="2110"/>
      <c r="H3" s="2111"/>
      <c r="I3" s="2109" t="s">
        <v>388</v>
      </c>
      <c r="J3" s="2110"/>
      <c r="K3" s="2109" t="s">
        <v>389</v>
      </c>
      <c r="L3" s="2110"/>
      <c r="M3" s="2110"/>
      <c r="N3" s="2110"/>
      <c r="O3" s="2110"/>
      <c r="P3" s="2110"/>
      <c r="Q3" s="2111"/>
      <c r="R3" s="1783" t="s">
        <v>387</v>
      </c>
      <c r="S3" s="1784"/>
      <c r="T3" s="1783" t="s">
        <v>387</v>
      </c>
      <c r="U3" s="1784"/>
      <c r="V3" s="2109" t="s">
        <v>1281</v>
      </c>
      <c r="W3" s="2110"/>
      <c r="X3" s="2110"/>
      <c r="Y3" s="2110"/>
      <c r="Z3" s="2110"/>
      <c r="AA3" s="2110"/>
      <c r="AB3" s="2110"/>
      <c r="AC3" s="2110"/>
      <c r="AD3" s="2110"/>
      <c r="AE3" s="2110"/>
      <c r="AF3" s="2110"/>
      <c r="AG3" s="2111"/>
      <c r="AH3" s="1783" t="s">
        <v>387</v>
      </c>
      <c r="AI3" s="1784"/>
      <c r="AJ3" s="2115" t="s">
        <v>387</v>
      </c>
      <c r="AK3" s="2116"/>
      <c r="AL3" s="2109" t="s">
        <v>1282</v>
      </c>
      <c r="AM3" s="2110"/>
      <c r="AN3" s="2110"/>
      <c r="AO3" s="2110"/>
      <c r="AP3" s="2110"/>
      <c r="AQ3" s="2110"/>
      <c r="AR3" s="2110"/>
      <c r="AS3" s="2110"/>
      <c r="AT3" s="2110"/>
      <c r="AU3" s="2110"/>
      <c r="AV3" s="2110"/>
      <c r="AW3" s="2111"/>
      <c r="AX3" s="1783" t="s">
        <v>387</v>
      </c>
      <c r="AY3" s="1784"/>
      <c r="AZ3" s="1783" t="s">
        <v>387</v>
      </c>
      <c r="BA3" s="1784"/>
      <c r="BB3" s="2109" t="s">
        <v>1283</v>
      </c>
      <c r="BC3" s="2110"/>
      <c r="BD3" s="2110"/>
      <c r="BE3" s="2110"/>
      <c r="BF3" s="2110"/>
      <c r="BG3" s="2110"/>
      <c r="BH3" s="2110"/>
      <c r="BI3" s="2111"/>
      <c r="BJ3" s="1783" t="s">
        <v>387</v>
      </c>
      <c r="BK3" s="1784"/>
    </row>
    <row r="4" spans="1:63" s="476" customFormat="1" ht="21" customHeight="1">
      <c r="A4" s="1785"/>
      <c r="B4" s="1786"/>
      <c r="C4" s="1607" t="s">
        <v>390</v>
      </c>
      <c r="D4" s="1607" t="s">
        <v>391</v>
      </c>
      <c r="E4" s="1607" t="s">
        <v>392</v>
      </c>
      <c r="F4" s="1607" t="s">
        <v>393</v>
      </c>
      <c r="G4" s="1607" t="s">
        <v>396</v>
      </c>
      <c r="H4" s="1607" t="s">
        <v>1101</v>
      </c>
      <c r="I4" s="1607" t="s">
        <v>394</v>
      </c>
      <c r="J4" s="1607" t="s">
        <v>395</v>
      </c>
      <c r="K4" s="1606" t="s">
        <v>905</v>
      </c>
      <c r="L4" s="1607" t="s">
        <v>397</v>
      </c>
      <c r="M4" s="1607" t="s">
        <v>398</v>
      </c>
      <c r="N4" s="1607" t="s">
        <v>399</v>
      </c>
      <c r="O4" s="1607" t="s">
        <v>400</v>
      </c>
      <c r="P4" s="1607" t="s">
        <v>401</v>
      </c>
      <c r="Q4" s="1607" t="s">
        <v>402</v>
      </c>
      <c r="R4" s="1785"/>
      <c r="S4" s="1786"/>
      <c r="T4" s="1785"/>
      <c r="U4" s="1786"/>
      <c r="V4" s="1607" t="s">
        <v>430</v>
      </c>
      <c r="W4" s="1607" t="s">
        <v>431</v>
      </c>
      <c r="X4" s="1607" t="s">
        <v>432</v>
      </c>
      <c r="Y4" s="1607" t="s">
        <v>433</v>
      </c>
      <c r="Z4" s="1607" t="s">
        <v>434</v>
      </c>
      <c r="AA4" s="1607" t="s">
        <v>435</v>
      </c>
      <c r="AB4" s="1607" t="s">
        <v>436</v>
      </c>
      <c r="AC4" s="1607" t="s">
        <v>2413</v>
      </c>
      <c r="AD4" s="1607" t="s">
        <v>2414</v>
      </c>
      <c r="AE4" s="1607" t="s">
        <v>2290</v>
      </c>
      <c r="AF4" s="1607" t="s">
        <v>2291</v>
      </c>
      <c r="AG4" s="1607" t="s">
        <v>437</v>
      </c>
      <c r="AH4" s="1785"/>
      <c r="AI4" s="1786"/>
      <c r="AJ4" s="2117"/>
      <c r="AK4" s="2118"/>
      <c r="AL4" s="1607" t="s">
        <v>438</v>
      </c>
      <c r="AM4" s="1607" t="s">
        <v>439</v>
      </c>
      <c r="AN4" s="1607" t="s">
        <v>2265</v>
      </c>
      <c r="AO4" s="1607" t="s">
        <v>440</v>
      </c>
      <c r="AP4" s="1607" t="s">
        <v>441</v>
      </c>
      <c r="AQ4" s="1607" t="s">
        <v>2267</v>
      </c>
      <c r="AR4" s="1607" t="s">
        <v>2262</v>
      </c>
      <c r="AS4" s="1607" t="s">
        <v>2263</v>
      </c>
      <c r="AT4" s="1528" t="s">
        <v>2264</v>
      </c>
      <c r="AU4" s="1607" t="s">
        <v>442</v>
      </c>
      <c r="AV4" s="1607" t="s">
        <v>443</v>
      </c>
      <c r="AW4" s="1607" t="s">
        <v>444</v>
      </c>
      <c r="AX4" s="1785"/>
      <c r="AY4" s="1786"/>
      <c r="AZ4" s="1785"/>
      <c r="BA4" s="1786"/>
      <c r="BB4" s="1606" t="s">
        <v>1792</v>
      </c>
      <c r="BC4" s="1607" t="s">
        <v>450</v>
      </c>
      <c r="BD4" s="1607" t="s">
        <v>445</v>
      </c>
      <c r="BE4" s="1607" t="s">
        <v>446</v>
      </c>
      <c r="BF4" s="1606" t="s">
        <v>447</v>
      </c>
      <c r="BG4" s="1607" t="s">
        <v>382</v>
      </c>
      <c r="BH4" s="1607" t="s">
        <v>448</v>
      </c>
      <c r="BI4" s="1607" t="s">
        <v>1284</v>
      </c>
      <c r="BJ4" s="1785"/>
      <c r="BK4" s="1786"/>
    </row>
    <row r="5" spans="1:63" s="159" customFormat="1" ht="10.5" customHeight="1">
      <c r="A5" s="1787"/>
      <c r="B5" s="1788"/>
      <c r="C5" s="241">
        <v>1</v>
      </c>
      <c r="D5" s="417">
        <v>2</v>
      </c>
      <c r="E5" s="241">
        <v>3</v>
      </c>
      <c r="F5" s="417">
        <v>4</v>
      </c>
      <c r="G5" s="241">
        <v>5</v>
      </c>
      <c r="H5" s="241">
        <v>6</v>
      </c>
      <c r="I5" s="241">
        <v>7</v>
      </c>
      <c r="J5" s="417">
        <v>8</v>
      </c>
      <c r="K5" s="242">
        <v>9</v>
      </c>
      <c r="L5" s="417">
        <v>10</v>
      </c>
      <c r="M5" s="241">
        <v>11</v>
      </c>
      <c r="N5" s="417">
        <v>12</v>
      </c>
      <c r="O5" s="241">
        <v>13</v>
      </c>
      <c r="P5" s="417">
        <v>14</v>
      </c>
      <c r="Q5" s="241">
        <v>15</v>
      </c>
      <c r="R5" s="1787"/>
      <c r="S5" s="1788"/>
      <c r="T5" s="1787"/>
      <c r="U5" s="1788"/>
      <c r="V5" s="241">
        <v>16</v>
      </c>
      <c r="W5" s="417">
        <v>17</v>
      </c>
      <c r="X5" s="241">
        <v>18</v>
      </c>
      <c r="Y5" s="241">
        <v>19</v>
      </c>
      <c r="Z5" s="241">
        <v>20</v>
      </c>
      <c r="AA5" s="241">
        <v>21</v>
      </c>
      <c r="AB5" s="417">
        <v>22</v>
      </c>
      <c r="AC5" s="417">
        <v>23</v>
      </c>
      <c r="AD5" s="417">
        <v>24</v>
      </c>
      <c r="AE5" s="417">
        <v>25</v>
      </c>
      <c r="AF5" s="417">
        <v>26</v>
      </c>
      <c r="AG5" s="391">
        <v>27</v>
      </c>
      <c r="AH5" s="1787"/>
      <c r="AI5" s="1788"/>
      <c r="AJ5" s="2119"/>
      <c r="AK5" s="2120"/>
      <c r="AL5" s="241">
        <v>28</v>
      </c>
      <c r="AM5" s="417">
        <v>29</v>
      </c>
      <c r="AN5" s="241">
        <v>30</v>
      </c>
      <c r="AO5" s="417">
        <v>31</v>
      </c>
      <c r="AP5" s="241">
        <v>32</v>
      </c>
      <c r="AQ5" s="417">
        <v>33</v>
      </c>
      <c r="AR5" s="241">
        <v>34</v>
      </c>
      <c r="AS5" s="417">
        <v>35</v>
      </c>
      <c r="AT5" s="241">
        <v>36</v>
      </c>
      <c r="AU5" s="417">
        <v>37</v>
      </c>
      <c r="AV5" s="241">
        <v>38</v>
      </c>
      <c r="AW5" s="417">
        <v>39</v>
      </c>
      <c r="AX5" s="1787"/>
      <c r="AY5" s="1788"/>
      <c r="AZ5" s="1787"/>
      <c r="BA5" s="1788"/>
      <c r="BB5" s="242">
        <v>40</v>
      </c>
      <c r="BC5" s="417">
        <v>41</v>
      </c>
      <c r="BD5" s="242">
        <v>42</v>
      </c>
      <c r="BE5" s="417">
        <v>43</v>
      </c>
      <c r="BF5" s="242">
        <v>44</v>
      </c>
      <c r="BG5" s="417">
        <v>45</v>
      </c>
      <c r="BH5" s="242">
        <v>46</v>
      </c>
      <c r="BI5" s="417">
        <v>47</v>
      </c>
      <c r="BJ5" s="1787"/>
      <c r="BK5" s="1788"/>
    </row>
    <row r="6" spans="1:63" s="61" customFormat="1" ht="12.75" customHeight="1">
      <c r="A6" s="2108" t="s">
        <v>47</v>
      </c>
      <c r="B6" s="2108"/>
      <c r="C6" s="309">
        <v>4</v>
      </c>
      <c r="D6" s="309">
        <v>3</v>
      </c>
      <c r="E6" s="309">
        <v>3.5</v>
      </c>
      <c r="F6" s="261" t="s">
        <v>2814</v>
      </c>
      <c r="G6" s="261" t="s">
        <v>2719</v>
      </c>
      <c r="H6" s="261">
        <v>5</v>
      </c>
      <c r="I6" s="261" t="s">
        <v>2195</v>
      </c>
      <c r="J6" s="261" t="s">
        <v>1252</v>
      </c>
      <c r="K6" s="261" t="s">
        <v>2803</v>
      </c>
      <c r="L6" s="261" t="s">
        <v>2717</v>
      </c>
      <c r="M6" s="261">
        <v>3.5</v>
      </c>
      <c r="N6" s="261">
        <v>4</v>
      </c>
      <c r="O6" s="261" t="s">
        <v>2762</v>
      </c>
      <c r="P6" s="261">
        <v>3.25</v>
      </c>
      <c r="Q6" s="261">
        <v>3</v>
      </c>
      <c r="R6" s="2101" t="s">
        <v>47</v>
      </c>
      <c r="S6" s="2101"/>
      <c r="T6" s="2101" t="s">
        <v>47</v>
      </c>
      <c r="U6" s="2101"/>
      <c r="V6" s="104" t="s">
        <v>2805</v>
      </c>
      <c r="W6" s="186">
        <v>3.25</v>
      </c>
      <c r="X6" s="186">
        <v>3</v>
      </c>
      <c r="Y6" s="396">
        <v>3.75</v>
      </c>
      <c r="Z6" s="186" t="s">
        <v>2759</v>
      </c>
      <c r="AA6" s="186">
        <v>3</v>
      </c>
      <c r="AB6" s="186" t="s">
        <v>2680</v>
      </c>
      <c r="AC6" s="186" t="s">
        <v>2979</v>
      </c>
      <c r="AD6" s="186">
        <v>5</v>
      </c>
      <c r="AE6" s="186" t="s">
        <v>2195</v>
      </c>
      <c r="AF6" s="186" t="s">
        <v>2687</v>
      </c>
      <c r="AG6" s="186">
        <v>3.5</v>
      </c>
      <c r="AH6" s="2101" t="s">
        <v>47</v>
      </c>
      <c r="AI6" s="2101"/>
      <c r="AJ6" s="2101" t="s">
        <v>47</v>
      </c>
      <c r="AK6" s="2101"/>
      <c r="AL6" s="261" t="s">
        <v>2938</v>
      </c>
      <c r="AM6" s="261" t="s">
        <v>2719</v>
      </c>
      <c r="AN6" s="261">
        <v>3</v>
      </c>
      <c r="AO6" s="261" t="s">
        <v>2842</v>
      </c>
      <c r="AP6" s="261">
        <v>3</v>
      </c>
      <c r="AQ6" s="261">
        <v>5</v>
      </c>
      <c r="AR6" s="261" t="s">
        <v>2840</v>
      </c>
      <c r="AS6" s="261" t="s">
        <v>2391</v>
      </c>
      <c r="AT6" s="261" t="s">
        <v>2982</v>
      </c>
      <c r="AU6" s="261" t="s">
        <v>2940</v>
      </c>
      <c r="AV6" s="261" t="s">
        <v>2759</v>
      </c>
      <c r="AW6" s="261">
        <v>3</v>
      </c>
      <c r="AX6" s="2101" t="s">
        <v>47</v>
      </c>
      <c r="AY6" s="2101"/>
      <c r="AZ6" s="2101" t="s">
        <v>47</v>
      </c>
      <c r="BA6" s="2101"/>
      <c r="BB6" s="260" t="s">
        <v>2721</v>
      </c>
      <c r="BC6" s="260" t="s">
        <v>2722</v>
      </c>
      <c r="BD6" s="261">
        <v>3.5</v>
      </c>
      <c r="BE6" s="261">
        <v>3.5</v>
      </c>
      <c r="BF6" s="261">
        <v>6</v>
      </c>
      <c r="BG6" s="261">
        <v>0.4</v>
      </c>
      <c r="BH6" s="261">
        <v>3</v>
      </c>
      <c r="BI6" s="261" t="s">
        <v>2900</v>
      </c>
      <c r="BJ6" s="2101" t="s">
        <v>47</v>
      </c>
      <c r="BK6" s="2101"/>
    </row>
    <row r="7" spans="1:63" ht="10.5" customHeight="1">
      <c r="A7" s="2105" t="s">
        <v>1750</v>
      </c>
      <c r="B7" s="2106"/>
      <c r="C7" s="607"/>
      <c r="D7" s="607"/>
      <c r="E7" s="607"/>
      <c r="F7" s="608"/>
      <c r="G7" s="608"/>
      <c r="H7" s="608"/>
      <c r="I7" s="608"/>
      <c r="J7" s="608"/>
      <c r="K7" s="608"/>
      <c r="L7" s="608"/>
      <c r="M7" s="608"/>
      <c r="N7" s="608"/>
      <c r="O7" s="608"/>
      <c r="P7" s="608"/>
      <c r="Q7" s="608"/>
      <c r="R7" s="2105" t="s">
        <v>1750</v>
      </c>
      <c r="S7" s="2106"/>
      <c r="T7" s="2105" t="s">
        <v>1750</v>
      </c>
      <c r="U7" s="2106"/>
      <c r="V7" s="609"/>
      <c r="W7" s="610"/>
      <c r="X7" s="610"/>
      <c r="Y7" s="610"/>
      <c r="Z7" s="610"/>
      <c r="AA7" s="610"/>
      <c r="AB7" s="610"/>
      <c r="AC7" s="610"/>
      <c r="AD7" s="610"/>
      <c r="AE7" s="610"/>
      <c r="AF7" s="610"/>
      <c r="AG7" s="610"/>
      <c r="AH7" s="2105" t="s">
        <v>1750</v>
      </c>
      <c r="AI7" s="2106"/>
      <c r="AJ7" s="2105" t="s">
        <v>1750</v>
      </c>
      <c r="AK7" s="2106"/>
      <c r="AL7" s="608" t="s">
        <v>2690</v>
      </c>
      <c r="AM7" s="608"/>
      <c r="AN7" s="608"/>
      <c r="AO7" s="608"/>
      <c r="AP7" s="608"/>
      <c r="AQ7" s="608"/>
      <c r="AR7" s="608"/>
      <c r="AS7" s="608"/>
      <c r="AT7" s="608"/>
      <c r="AU7" s="608"/>
      <c r="AV7" s="608"/>
      <c r="AW7" s="608"/>
      <c r="AX7" s="2105" t="s">
        <v>1750</v>
      </c>
      <c r="AY7" s="2106"/>
      <c r="AZ7" s="2105" t="s">
        <v>1750</v>
      </c>
      <c r="BA7" s="2106"/>
      <c r="BB7" s="611"/>
      <c r="BC7" s="611"/>
      <c r="BD7" s="608"/>
      <c r="BE7" s="608"/>
      <c r="BF7" s="608"/>
      <c r="BG7" s="608"/>
      <c r="BH7" s="608"/>
      <c r="BI7" s="608"/>
      <c r="BJ7" s="2105" t="s">
        <v>1750</v>
      </c>
      <c r="BK7" s="2106"/>
    </row>
    <row r="8" spans="1:63" ht="11.1" customHeight="1">
      <c r="A8" s="230" t="s">
        <v>875</v>
      </c>
      <c r="B8" s="228" t="s">
        <v>1740</v>
      </c>
      <c r="C8" s="309">
        <v>4</v>
      </c>
      <c r="D8" s="309">
        <v>3.5</v>
      </c>
      <c r="E8" s="309">
        <v>3.5</v>
      </c>
      <c r="F8" s="261">
        <v>3</v>
      </c>
      <c r="G8" s="261">
        <v>4</v>
      </c>
      <c r="H8" s="261">
        <v>4.5</v>
      </c>
      <c r="I8" s="261">
        <v>4</v>
      </c>
      <c r="J8" s="261">
        <v>4</v>
      </c>
      <c r="K8" s="261">
        <v>2.5</v>
      </c>
      <c r="L8" s="261">
        <v>3</v>
      </c>
      <c r="M8" s="261">
        <v>2.5</v>
      </c>
      <c r="N8" s="261">
        <v>2</v>
      </c>
      <c r="O8" s="261">
        <v>3.5</v>
      </c>
      <c r="P8" s="261">
        <v>3.5</v>
      </c>
      <c r="Q8" s="261">
        <v>2.5</v>
      </c>
      <c r="R8" s="230" t="s">
        <v>875</v>
      </c>
      <c r="S8" s="228" t="s">
        <v>1740</v>
      </c>
      <c r="T8" s="230" t="s">
        <v>875</v>
      </c>
      <c r="U8" s="228" t="s">
        <v>1740</v>
      </c>
      <c r="V8" s="186">
        <v>1</v>
      </c>
      <c r="W8" s="186">
        <v>3</v>
      </c>
      <c r="X8" s="186">
        <v>3</v>
      </c>
      <c r="Y8" s="186">
        <v>2.75</v>
      </c>
      <c r="Z8" s="186">
        <v>3</v>
      </c>
      <c r="AA8" s="186">
        <v>2</v>
      </c>
      <c r="AB8" s="186">
        <v>1</v>
      </c>
      <c r="AC8" s="186">
        <v>3</v>
      </c>
      <c r="AD8" s="186">
        <v>4</v>
      </c>
      <c r="AE8" s="186">
        <v>4</v>
      </c>
      <c r="AF8" s="186">
        <v>5</v>
      </c>
      <c r="AG8" s="186">
        <v>2.5</v>
      </c>
      <c r="AH8" s="230" t="s">
        <v>875</v>
      </c>
      <c r="AI8" s="228" t="s">
        <v>1740</v>
      </c>
      <c r="AJ8" s="230" t="s">
        <v>875</v>
      </c>
      <c r="AK8" s="228" t="s">
        <v>1740</v>
      </c>
      <c r="AL8" s="261">
        <v>3.5</v>
      </c>
      <c r="AM8" s="261">
        <v>2.5</v>
      </c>
      <c r="AN8" s="261">
        <v>3</v>
      </c>
      <c r="AO8" s="261">
        <v>1</v>
      </c>
      <c r="AP8" s="261">
        <v>2.5</v>
      </c>
      <c r="AQ8" s="261">
        <v>3</v>
      </c>
      <c r="AR8" s="261">
        <v>4.25</v>
      </c>
      <c r="AS8" s="261">
        <v>3</v>
      </c>
      <c r="AT8" s="261">
        <v>2</v>
      </c>
      <c r="AU8" s="261">
        <v>3</v>
      </c>
      <c r="AV8" s="261">
        <v>2.5</v>
      </c>
      <c r="AW8" s="261">
        <v>2</v>
      </c>
      <c r="AX8" s="230" t="s">
        <v>875</v>
      </c>
      <c r="AY8" s="228" t="s">
        <v>1740</v>
      </c>
      <c r="AZ8" s="230" t="s">
        <v>875</v>
      </c>
      <c r="BA8" s="228" t="s">
        <v>1740</v>
      </c>
      <c r="BB8" s="261">
        <v>2.5</v>
      </c>
      <c r="BC8" s="261">
        <v>0.75</v>
      </c>
      <c r="BD8" s="261">
        <v>1</v>
      </c>
      <c r="BE8" s="261">
        <v>3</v>
      </c>
      <c r="BF8" s="261">
        <v>3</v>
      </c>
      <c r="BG8" s="261">
        <v>0.1</v>
      </c>
      <c r="BH8" s="261">
        <v>1.5</v>
      </c>
      <c r="BI8" s="261">
        <v>1</v>
      </c>
      <c r="BJ8" s="230" t="s">
        <v>875</v>
      </c>
      <c r="BK8" s="228" t="s">
        <v>1740</v>
      </c>
    </row>
    <row r="9" spans="1:63" ht="11.1" customHeight="1">
      <c r="A9" s="612" t="s">
        <v>1120</v>
      </c>
      <c r="B9" s="613" t="s">
        <v>1741</v>
      </c>
      <c r="C9" s="607">
        <v>4</v>
      </c>
      <c r="D9" s="607">
        <v>3.5</v>
      </c>
      <c r="E9" s="607">
        <v>3.5</v>
      </c>
      <c r="F9" s="608">
        <v>3</v>
      </c>
      <c r="G9" s="608">
        <v>4</v>
      </c>
      <c r="H9" s="608">
        <v>4.5</v>
      </c>
      <c r="I9" s="608">
        <v>4</v>
      </c>
      <c r="J9" s="608">
        <v>4</v>
      </c>
      <c r="K9" s="608">
        <v>4</v>
      </c>
      <c r="L9" s="608">
        <v>3</v>
      </c>
      <c r="M9" s="608">
        <v>3.25</v>
      </c>
      <c r="N9" s="608">
        <v>3</v>
      </c>
      <c r="O9" s="608">
        <v>3.5</v>
      </c>
      <c r="P9" s="608">
        <v>3.75</v>
      </c>
      <c r="Q9" s="608">
        <v>3</v>
      </c>
      <c r="R9" s="612" t="s">
        <v>1120</v>
      </c>
      <c r="S9" s="613" t="s">
        <v>1741</v>
      </c>
      <c r="T9" s="612" t="s">
        <v>1120</v>
      </c>
      <c r="U9" s="613" t="s">
        <v>1741</v>
      </c>
      <c r="V9" s="610">
        <v>2</v>
      </c>
      <c r="W9" s="610">
        <v>3.1</v>
      </c>
      <c r="X9" s="610">
        <v>3</v>
      </c>
      <c r="Y9" s="610">
        <v>3</v>
      </c>
      <c r="Z9" s="610">
        <v>3</v>
      </c>
      <c r="AA9" s="610">
        <v>2.5</v>
      </c>
      <c r="AB9" s="610">
        <v>2</v>
      </c>
      <c r="AC9" s="610">
        <v>3.5</v>
      </c>
      <c r="AD9" s="610">
        <v>4</v>
      </c>
      <c r="AE9" s="610">
        <v>4</v>
      </c>
      <c r="AF9" s="610">
        <v>6</v>
      </c>
      <c r="AG9" s="610">
        <v>3</v>
      </c>
      <c r="AH9" s="612" t="s">
        <v>1120</v>
      </c>
      <c r="AI9" s="613" t="s">
        <v>1741</v>
      </c>
      <c r="AJ9" s="612" t="s">
        <v>1120</v>
      </c>
      <c r="AK9" s="613" t="s">
        <v>1741</v>
      </c>
      <c r="AL9" s="608">
        <v>3.5</v>
      </c>
      <c r="AM9" s="608">
        <v>3</v>
      </c>
      <c r="AN9" s="608">
        <v>3.15</v>
      </c>
      <c r="AO9" s="608">
        <v>1.5</v>
      </c>
      <c r="AP9" s="608">
        <v>2.5</v>
      </c>
      <c r="AQ9" s="608">
        <v>3.5</v>
      </c>
      <c r="AR9" s="608">
        <v>5</v>
      </c>
      <c r="AS9" s="608">
        <v>4</v>
      </c>
      <c r="AT9" s="608">
        <v>3</v>
      </c>
      <c r="AU9" s="608">
        <v>3.1</v>
      </c>
      <c r="AV9" s="608">
        <v>3</v>
      </c>
      <c r="AW9" s="608">
        <v>2.5</v>
      </c>
      <c r="AX9" s="612" t="s">
        <v>1120</v>
      </c>
      <c r="AY9" s="613" t="s">
        <v>1741</v>
      </c>
      <c r="AZ9" s="612" t="s">
        <v>1120</v>
      </c>
      <c r="BA9" s="613" t="s">
        <v>1741</v>
      </c>
      <c r="BB9" s="608">
        <v>2.5</v>
      </c>
      <c r="BC9" s="608">
        <v>0.75</v>
      </c>
      <c r="BD9" s="608">
        <v>1.25</v>
      </c>
      <c r="BE9" s="608">
        <v>5</v>
      </c>
      <c r="BF9" s="608">
        <v>3.5</v>
      </c>
      <c r="BG9" s="608">
        <v>0.2</v>
      </c>
      <c r="BH9" s="608">
        <v>1.5</v>
      </c>
      <c r="BI9" s="608">
        <v>1.1499999999999999</v>
      </c>
      <c r="BJ9" s="612" t="s">
        <v>1120</v>
      </c>
      <c r="BK9" s="613" t="s">
        <v>1741</v>
      </c>
    </row>
    <row r="10" spans="1:63" ht="11.1" customHeight="1">
      <c r="A10" s="230" t="s">
        <v>846</v>
      </c>
      <c r="B10" s="228" t="s">
        <v>1742</v>
      </c>
      <c r="C10" s="309">
        <v>4</v>
      </c>
      <c r="D10" s="309">
        <v>3.5</v>
      </c>
      <c r="E10" s="309">
        <v>3.5</v>
      </c>
      <c r="F10" s="261">
        <v>3</v>
      </c>
      <c r="G10" s="261">
        <v>4</v>
      </c>
      <c r="H10" s="261">
        <v>4.5</v>
      </c>
      <c r="I10" s="261">
        <v>4</v>
      </c>
      <c r="J10" s="261">
        <v>4</v>
      </c>
      <c r="K10" s="261">
        <v>4.5</v>
      </c>
      <c r="L10" s="261">
        <v>3</v>
      </c>
      <c r="M10" s="261">
        <v>4.25</v>
      </c>
      <c r="N10" s="261">
        <v>3</v>
      </c>
      <c r="O10" s="261">
        <v>4.5</v>
      </c>
      <c r="P10" s="261">
        <v>4</v>
      </c>
      <c r="Q10" s="261">
        <v>4</v>
      </c>
      <c r="R10" s="230" t="s">
        <v>846</v>
      </c>
      <c r="S10" s="228" t="s">
        <v>1742</v>
      </c>
      <c r="T10" s="230" t="s">
        <v>846</v>
      </c>
      <c r="U10" s="228" t="s">
        <v>1742</v>
      </c>
      <c r="V10" s="186">
        <v>2.5</v>
      </c>
      <c r="W10" s="186">
        <v>3.15</v>
      </c>
      <c r="X10" s="186">
        <v>3.5</v>
      </c>
      <c r="Y10" s="186">
        <v>3.5</v>
      </c>
      <c r="Z10" s="186">
        <v>3.5</v>
      </c>
      <c r="AA10" s="186">
        <v>2.5</v>
      </c>
      <c r="AB10" s="186">
        <v>2</v>
      </c>
      <c r="AC10" s="186">
        <v>3.5</v>
      </c>
      <c r="AD10" s="186">
        <v>4</v>
      </c>
      <c r="AE10" s="186">
        <v>4</v>
      </c>
      <c r="AF10" s="186">
        <v>7</v>
      </c>
      <c r="AG10" s="186">
        <v>3.5</v>
      </c>
      <c r="AH10" s="230" t="s">
        <v>846</v>
      </c>
      <c r="AI10" s="228" t="s">
        <v>1742</v>
      </c>
      <c r="AJ10" s="230" t="s">
        <v>846</v>
      </c>
      <c r="AK10" s="228" t="s">
        <v>1742</v>
      </c>
      <c r="AL10" s="261">
        <v>3.5</v>
      </c>
      <c r="AM10" s="261">
        <v>3.5</v>
      </c>
      <c r="AN10" s="261">
        <v>3.25</v>
      </c>
      <c r="AO10" s="261">
        <v>2</v>
      </c>
      <c r="AP10" s="261">
        <v>3</v>
      </c>
      <c r="AQ10" s="261">
        <v>4</v>
      </c>
      <c r="AR10" s="261">
        <v>5.25</v>
      </c>
      <c r="AS10" s="261">
        <v>5</v>
      </c>
      <c r="AT10" s="261">
        <v>3</v>
      </c>
      <c r="AU10" s="261">
        <v>3.25</v>
      </c>
      <c r="AV10" s="261">
        <v>3</v>
      </c>
      <c r="AW10" s="261">
        <v>3</v>
      </c>
      <c r="AX10" s="230" t="s">
        <v>846</v>
      </c>
      <c r="AY10" s="228" t="s">
        <v>1742</v>
      </c>
      <c r="AZ10" s="230" t="s">
        <v>846</v>
      </c>
      <c r="BA10" s="228" t="s">
        <v>1742</v>
      </c>
      <c r="BB10" s="261">
        <v>3</v>
      </c>
      <c r="BC10" s="261">
        <v>1.25</v>
      </c>
      <c r="BD10" s="261">
        <v>1.5</v>
      </c>
      <c r="BE10" s="261">
        <v>5</v>
      </c>
      <c r="BF10" s="261">
        <v>4</v>
      </c>
      <c r="BG10" s="261">
        <v>0.3</v>
      </c>
      <c r="BH10" s="261">
        <v>1.5</v>
      </c>
      <c r="BI10" s="261">
        <v>1.25</v>
      </c>
      <c r="BJ10" s="230" t="s">
        <v>846</v>
      </c>
      <c r="BK10" s="228" t="s">
        <v>1742</v>
      </c>
    </row>
    <row r="11" spans="1:63" ht="11.1" customHeight="1">
      <c r="A11" s="612" t="s">
        <v>847</v>
      </c>
      <c r="B11" s="613" t="s">
        <v>1743</v>
      </c>
      <c r="C11" s="607">
        <v>4</v>
      </c>
      <c r="D11" s="607">
        <v>3.5</v>
      </c>
      <c r="E11" s="607">
        <v>3.5</v>
      </c>
      <c r="F11" s="608">
        <v>3</v>
      </c>
      <c r="G11" s="608">
        <v>4</v>
      </c>
      <c r="H11" s="608">
        <v>4.5</v>
      </c>
      <c r="I11" s="608">
        <v>4</v>
      </c>
      <c r="J11" s="608">
        <v>4</v>
      </c>
      <c r="K11" s="608">
        <v>6.5</v>
      </c>
      <c r="L11" s="608">
        <v>4</v>
      </c>
      <c r="M11" s="608">
        <v>5</v>
      </c>
      <c r="N11" s="608">
        <v>3</v>
      </c>
      <c r="O11" s="608">
        <v>4.5</v>
      </c>
      <c r="P11" s="608">
        <v>4.25</v>
      </c>
      <c r="Q11" s="608">
        <v>4.5</v>
      </c>
      <c r="R11" s="612" t="s">
        <v>847</v>
      </c>
      <c r="S11" s="613" t="s">
        <v>1743</v>
      </c>
      <c r="T11" s="612" t="s">
        <v>847</v>
      </c>
      <c r="U11" s="613" t="s">
        <v>1743</v>
      </c>
      <c r="V11" s="610">
        <v>3</v>
      </c>
      <c r="W11" s="610">
        <v>3.25</v>
      </c>
      <c r="X11" s="610">
        <v>4</v>
      </c>
      <c r="Y11" s="610">
        <v>3.75</v>
      </c>
      <c r="Z11" s="610">
        <v>3.5</v>
      </c>
      <c r="AA11" s="610">
        <v>2.5</v>
      </c>
      <c r="AB11" s="610">
        <v>2</v>
      </c>
      <c r="AC11" s="610">
        <v>3.5</v>
      </c>
      <c r="AD11" s="610">
        <v>4</v>
      </c>
      <c r="AE11" s="610">
        <v>4</v>
      </c>
      <c r="AF11" s="610">
        <v>8</v>
      </c>
      <c r="AG11" s="610">
        <v>4</v>
      </c>
      <c r="AH11" s="612" t="s">
        <v>847</v>
      </c>
      <c r="AI11" s="613" t="s">
        <v>1743</v>
      </c>
      <c r="AJ11" s="612" t="s">
        <v>847</v>
      </c>
      <c r="AK11" s="613" t="s">
        <v>1743</v>
      </c>
      <c r="AL11" s="608">
        <v>3.7</v>
      </c>
      <c r="AM11" s="608">
        <v>3.5</v>
      </c>
      <c r="AN11" s="608">
        <v>3.4</v>
      </c>
      <c r="AO11" s="608">
        <v>3</v>
      </c>
      <c r="AP11" s="608">
        <v>3</v>
      </c>
      <c r="AQ11" s="608">
        <v>4.5</v>
      </c>
      <c r="AR11" s="608">
        <v>5.5</v>
      </c>
      <c r="AS11" s="608">
        <v>5</v>
      </c>
      <c r="AT11" s="608">
        <v>3.5</v>
      </c>
      <c r="AU11" s="608">
        <v>3.5</v>
      </c>
      <c r="AV11" s="608">
        <v>3</v>
      </c>
      <c r="AW11" s="608">
        <v>3.5</v>
      </c>
      <c r="AX11" s="612" t="s">
        <v>847</v>
      </c>
      <c r="AY11" s="613" t="s">
        <v>1743</v>
      </c>
      <c r="AZ11" s="612" t="s">
        <v>847</v>
      </c>
      <c r="BA11" s="613" t="s">
        <v>1743</v>
      </c>
      <c r="BB11" s="608">
        <v>3.5</v>
      </c>
      <c r="BC11" s="608">
        <v>2</v>
      </c>
      <c r="BD11" s="608">
        <v>1.5</v>
      </c>
      <c r="BE11" s="608">
        <v>5</v>
      </c>
      <c r="BF11" s="608">
        <v>4.5</v>
      </c>
      <c r="BG11" s="608">
        <v>0.35</v>
      </c>
      <c r="BH11" s="608">
        <v>1.5</v>
      </c>
      <c r="BI11" s="608">
        <v>1.5</v>
      </c>
      <c r="BJ11" s="612" t="s">
        <v>847</v>
      </c>
      <c r="BK11" s="613" t="s">
        <v>1743</v>
      </c>
    </row>
    <row r="12" spans="1:63" ht="11.1" customHeight="1">
      <c r="A12" s="230" t="s">
        <v>873</v>
      </c>
      <c r="B12" s="228" t="s">
        <v>1744</v>
      </c>
      <c r="C12" s="309">
        <v>4</v>
      </c>
      <c r="D12" s="309">
        <v>3.5</v>
      </c>
      <c r="E12" s="309">
        <v>3.5</v>
      </c>
      <c r="F12" s="261">
        <v>3</v>
      </c>
      <c r="G12" s="261">
        <v>4</v>
      </c>
      <c r="H12" s="261">
        <v>5</v>
      </c>
      <c r="I12" s="261">
        <v>5</v>
      </c>
      <c r="J12" s="261">
        <v>4</v>
      </c>
      <c r="K12" s="261">
        <v>6.5</v>
      </c>
      <c r="L12" s="261">
        <v>4</v>
      </c>
      <c r="M12" s="261">
        <v>5.5</v>
      </c>
      <c r="N12" s="261">
        <v>4</v>
      </c>
      <c r="O12" s="261">
        <v>4.5</v>
      </c>
      <c r="P12" s="261">
        <v>4.5</v>
      </c>
      <c r="Q12" s="261">
        <v>4.5</v>
      </c>
      <c r="R12" s="230" t="s">
        <v>873</v>
      </c>
      <c r="S12" s="228" t="s">
        <v>1744</v>
      </c>
      <c r="T12" s="230" t="s">
        <v>873</v>
      </c>
      <c r="U12" s="228" t="s">
        <v>1744</v>
      </c>
      <c r="V12" s="186">
        <v>3</v>
      </c>
      <c r="W12" s="186">
        <v>3.5</v>
      </c>
      <c r="X12" s="186">
        <v>4</v>
      </c>
      <c r="Y12" s="186">
        <v>4</v>
      </c>
      <c r="Z12" s="186">
        <v>3.5</v>
      </c>
      <c r="AA12" s="186">
        <v>2.5</v>
      </c>
      <c r="AB12" s="186">
        <v>2</v>
      </c>
      <c r="AC12" s="186">
        <v>4</v>
      </c>
      <c r="AD12" s="186">
        <v>4</v>
      </c>
      <c r="AE12" s="186">
        <v>4</v>
      </c>
      <c r="AF12" s="186">
        <v>8.5</v>
      </c>
      <c r="AG12" s="186">
        <v>4.5</v>
      </c>
      <c r="AH12" s="230" t="s">
        <v>873</v>
      </c>
      <c r="AI12" s="228" t="s">
        <v>1744</v>
      </c>
      <c r="AJ12" s="230" t="s">
        <v>873</v>
      </c>
      <c r="AK12" s="228" t="s">
        <v>1744</v>
      </c>
      <c r="AL12" s="261">
        <v>4</v>
      </c>
      <c r="AM12" s="261">
        <v>4</v>
      </c>
      <c r="AN12" s="261">
        <v>3.5</v>
      </c>
      <c r="AO12" s="261">
        <v>4</v>
      </c>
      <c r="AP12" s="261">
        <v>3.5</v>
      </c>
      <c r="AQ12" s="261">
        <v>6.25</v>
      </c>
      <c r="AR12" s="261">
        <v>5.75</v>
      </c>
      <c r="AS12" s="261">
        <v>5.5</v>
      </c>
      <c r="AT12" s="261">
        <v>3.5</v>
      </c>
      <c r="AU12" s="261">
        <v>3.75</v>
      </c>
      <c r="AV12" s="261">
        <v>3</v>
      </c>
      <c r="AW12" s="261">
        <v>4.5</v>
      </c>
      <c r="AX12" s="230" t="s">
        <v>873</v>
      </c>
      <c r="AY12" s="228" t="s">
        <v>1744</v>
      </c>
      <c r="AZ12" s="230" t="s">
        <v>873</v>
      </c>
      <c r="BA12" s="228" t="s">
        <v>1744</v>
      </c>
      <c r="BB12" s="261">
        <v>3.5</v>
      </c>
      <c r="BC12" s="261">
        <v>2</v>
      </c>
      <c r="BD12" s="261">
        <v>1.5</v>
      </c>
      <c r="BE12" s="261">
        <v>5</v>
      </c>
      <c r="BF12" s="261">
        <v>5</v>
      </c>
      <c r="BG12" s="261">
        <v>0.4</v>
      </c>
      <c r="BH12" s="261">
        <v>1.5</v>
      </c>
      <c r="BI12" s="261">
        <v>2.2000000000000002</v>
      </c>
      <c r="BJ12" s="230" t="s">
        <v>873</v>
      </c>
      <c r="BK12" s="228" t="s">
        <v>1744</v>
      </c>
    </row>
    <row r="13" spans="1:63" ht="12.75" customHeight="1">
      <c r="A13" s="2100" t="s">
        <v>48</v>
      </c>
      <c r="B13" s="2100"/>
      <c r="C13" s="614"/>
      <c r="D13" s="614"/>
      <c r="E13" s="614"/>
      <c r="F13" s="614"/>
      <c r="G13" s="614"/>
      <c r="H13" s="614"/>
      <c r="I13" s="614"/>
      <c r="J13" s="614"/>
      <c r="K13" s="615"/>
      <c r="L13" s="614"/>
      <c r="M13" s="614"/>
      <c r="N13" s="614"/>
      <c r="O13" s="614"/>
      <c r="P13" s="614"/>
      <c r="Q13" s="614"/>
      <c r="R13" s="2100" t="s">
        <v>48</v>
      </c>
      <c r="S13" s="2100"/>
      <c r="T13" s="2100" t="s">
        <v>48</v>
      </c>
      <c r="U13" s="2100"/>
      <c r="V13" s="609"/>
      <c r="W13" s="609"/>
      <c r="X13" s="609"/>
      <c r="Y13" s="609"/>
      <c r="Z13" s="609"/>
      <c r="AA13" s="609"/>
      <c r="AB13" s="609"/>
      <c r="AC13" s="609"/>
      <c r="AD13" s="609"/>
      <c r="AE13" s="609"/>
      <c r="AF13" s="609"/>
      <c r="AG13" s="610"/>
      <c r="AH13" s="2100" t="s">
        <v>48</v>
      </c>
      <c r="AI13" s="2100"/>
      <c r="AJ13" s="2100" t="s">
        <v>48</v>
      </c>
      <c r="AK13" s="2100"/>
      <c r="AL13" s="611"/>
      <c r="AM13" s="611"/>
      <c r="AN13" s="611"/>
      <c r="AO13" s="611"/>
      <c r="AP13" s="611"/>
      <c r="AQ13" s="611"/>
      <c r="AR13" s="611"/>
      <c r="AS13" s="611"/>
      <c r="AT13" s="611"/>
      <c r="AU13" s="611"/>
      <c r="AV13" s="611"/>
      <c r="AW13" s="611"/>
      <c r="AX13" s="2100" t="s">
        <v>48</v>
      </c>
      <c r="AY13" s="2100"/>
      <c r="AZ13" s="2100" t="s">
        <v>48</v>
      </c>
      <c r="BA13" s="2100"/>
      <c r="BB13" s="611"/>
      <c r="BC13" s="611"/>
      <c r="BD13" s="611"/>
      <c r="BE13" s="611"/>
      <c r="BF13" s="611"/>
      <c r="BG13" s="611"/>
      <c r="BH13" s="608"/>
      <c r="BI13" s="608"/>
      <c r="BJ13" s="2100" t="s">
        <v>48</v>
      </c>
      <c r="BK13" s="2100"/>
    </row>
    <row r="14" spans="1:63" ht="11.1" customHeight="1">
      <c r="A14" s="230" t="s">
        <v>875</v>
      </c>
      <c r="B14" s="228" t="s">
        <v>1745</v>
      </c>
      <c r="C14" s="309">
        <v>5</v>
      </c>
      <c r="D14" s="309">
        <v>5</v>
      </c>
      <c r="E14" s="261">
        <v>4.5</v>
      </c>
      <c r="F14" s="261">
        <v>5</v>
      </c>
      <c r="G14" s="261">
        <v>5</v>
      </c>
      <c r="H14" s="261" t="s">
        <v>2716</v>
      </c>
      <c r="I14" s="261">
        <v>5</v>
      </c>
      <c r="J14" s="261" t="s">
        <v>2862</v>
      </c>
      <c r="K14" s="261" t="s">
        <v>2716</v>
      </c>
      <c r="L14" s="261" t="s">
        <v>2897</v>
      </c>
      <c r="M14" s="261">
        <v>5.5</v>
      </c>
      <c r="N14" s="261">
        <v>5</v>
      </c>
      <c r="O14" s="261" t="s">
        <v>2972</v>
      </c>
      <c r="P14" s="261">
        <v>4.75</v>
      </c>
      <c r="Q14" s="261">
        <v>5</v>
      </c>
      <c r="R14" s="230" t="s">
        <v>875</v>
      </c>
      <c r="S14" s="228" t="s">
        <v>1745</v>
      </c>
      <c r="T14" s="230" t="s">
        <v>875</v>
      </c>
      <c r="U14" s="228" t="s">
        <v>1745</v>
      </c>
      <c r="V14" s="186">
        <v>3.5</v>
      </c>
      <c r="W14" s="186" t="s">
        <v>2973</v>
      </c>
      <c r="X14" s="186" t="s">
        <v>2195</v>
      </c>
      <c r="Y14" s="186">
        <v>5.5</v>
      </c>
      <c r="Z14" s="186" t="s">
        <v>2863</v>
      </c>
      <c r="AA14" s="186" t="s">
        <v>2717</v>
      </c>
      <c r="AB14" s="186" t="s">
        <v>2974</v>
      </c>
      <c r="AC14" s="186">
        <v>6</v>
      </c>
      <c r="AD14" s="186" t="s">
        <v>2839</v>
      </c>
      <c r="AE14" s="186" t="s">
        <v>1252</v>
      </c>
      <c r="AF14" s="186" t="s">
        <v>2411</v>
      </c>
      <c r="AG14" s="186">
        <v>5</v>
      </c>
      <c r="AH14" s="230" t="s">
        <v>875</v>
      </c>
      <c r="AI14" s="228" t="s">
        <v>1745</v>
      </c>
      <c r="AJ14" s="230" t="s">
        <v>875</v>
      </c>
      <c r="AK14" s="228" t="s">
        <v>1745</v>
      </c>
      <c r="AL14" s="261">
        <v>5</v>
      </c>
      <c r="AM14" s="261">
        <v>7</v>
      </c>
      <c r="AN14" s="261" t="s">
        <v>2691</v>
      </c>
      <c r="AO14" s="260" t="s">
        <v>2924</v>
      </c>
      <c r="AP14" s="261" t="s">
        <v>2838</v>
      </c>
      <c r="AQ14" s="261" t="s">
        <v>2925</v>
      </c>
      <c r="AR14" s="261" t="s">
        <v>2939</v>
      </c>
      <c r="AS14" s="261" t="s">
        <v>2980</v>
      </c>
      <c r="AT14" s="261" t="s">
        <v>2838</v>
      </c>
      <c r="AU14" s="261">
        <v>5</v>
      </c>
      <c r="AV14" s="261">
        <v>5</v>
      </c>
      <c r="AW14" s="261" t="s">
        <v>2983</v>
      </c>
      <c r="AX14" s="230" t="s">
        <v>875</v>
      </c>
      <c r="AY14" s="228" t="s">
        <v>1745</v>
      </c>
      <c r="AZ14" s="230" t="s">
        <v>875</v>
      </c>
      <c r="BA14" s="228" t="s">
        <v>1745</v>
      </c>
      <c r="BB14" s="261" t="s">
        <v>2814</v>
      </c>
      <c r="BC14" s="261" t="s">
        <v>2941</v>
      </c>
      <c r="BD14" s="261" t="s">
        <v>2686</v>
      </c>
      <c r="BE14" s="261" t="s">
        <v>2814</v>
      </c>
      <c r="BF14" s="261">
        <v>9</v>
      </c>
      <c r="BG14" s="261" t="s">
        <v>2793</v>
      </c>
      <c r="BH14" s="261" t="s">
        <v>2806</v>
      </c>
      <c r="BI14" s="261" t="s">
        <v>2865</v>
      </c>
      <c r="BJ14" s="230" t="s">
        <v>875</v>
      </c>
      <c r="BK14" s="228" t="s">
        <v>1745</v>
      </c>
    </row>
    <row r="15" spans="1:63" ht="11.1" customHeight="1">
      <c r="A15" s="612" t="s">
        <v>1120</v>
      </c>
      <c r="B15" s="613" t="s">
        <v>1746</v>
      </c>
      <c r="C15" s="607">
        <v>5.25</v>
      </c>
      <c r="D15" s="608">
        <v>5.25</v>
      </c>
      <c r="E15" s="608">
        <v>4.75</v>
      </c>
      <c r="F15" s="608">
        <v>5</v>
      </c>
      <c r="G15" s="608">
        <v>5.25</v>
      </c>
      <c r="H15" s="608">
        <v>5.75</v>
      </c>
      <c r="I15" s="608">
        <v>5.25</v>
      </c>
      <c r="J15" s="610" t="s">
        <v>2937</v>
      </c>
      <c r="K15" s="608" t="s">
        <v>2716</v>
      </c>
      <c r="L15" s="608" t="s">
        <v>2897</v>
      </c>
      <c r="M15" s="608">
        <v>5.75</v>
      </c>
      <c r="N15" s="608">
        <v>5.25</v>
      </c>
      <c r="O15" s="608" t="s">
        <v>2758</v>
      </c>
      <c r="P15" s="608">
        <v>4.75</v>
      </c>
      <c r="Q15" s="608">
        <v>5.5</v>
      </c>
      <c r="R15" s="612" t="s">
        <v>1120</v>
      </c>
      <c r="S15" s="613" t="s">
        <v>1746</v>
      </c>
      <c r="T15" s="612" t="s">
        <v>1120</v>
      </c>
      <c r="U15" s="613" t="s">
        <v>1746</v>
      </c>
      <c r="V15" s="610">
        <v>3.5</v>
      </c>
      <c r="W15" s="610" t="s">
        <v>2972</v>
      </c>
      <c r="X15" s="610" t="s">
        <v>2195</v>
      </c>
      <c r="Y15" s="610">
        <v>5.75</v>
      </c>
      <c r="Z15" s="610" t="s">
        <v>2687</v>
      </c>
      <c r="AA15" s="610">
        <v>5</v>
      </c>
      <c r="AB15" s="610" t="s">
        <v>2975</v>
      </c>
      <c r="AC15" s="610">
        <v>6.25</v>
      </c>
      <c r="AD15" s="610" t="s">
        <v>2839</v>
      </c>
      <c r="AE15" s="610" t="s">
        <v>1252</v>
      </c>
      <c r="AF15" s="610" t="s">
        <v>2411</v>
      </c>
      <c r="AG15" s="610">
        <v>5</v>
      </c>
      <c r="AH15" s="612" t="s">
        <v>1120</v>
      </c>
      <c r="AI15" s="613" t="s">
        <v>1746</v>
      </c>
      <c r="AJ15" s="612" t="s">
        <v>1120</v>
      </c>
      <c r="AK15" s="613" t="s">
        <v>1746</v>
      </c>
      <c r="AL15" s="608">
        <v>5.5</v>
      </c>
      <c r="AM15" s="608">
        <v>7</v>
      </c>
      <c r="AN15" s="608" t="s">
        <v>2691</v>
      </c>
      <c r="AO15" s="611" t="s">
        <v>2926</v>
      </c>
      <c r="AP15" s="608" t="s">
        <v>2838</v>
      </c>
      <c r="AQ15" s="608">
        <v>7</v>
      </c>
      <c r="AR15" s="608">
        <v>6.75</v>
      </c>
      <c r="AS15" s="608" t="s">
        <v>2341</v>
      </c>
      <c r="AT15" s="608" t="s">
        <v>2939</v>
      </c>
      <c r="AU15" s="608">
        <v>5.25</v>
      </c>
      <c r="AV15" s="608">
        <v>5</v>
      </c>
      <c r="AW15" s="608" t="s">
        <v>2983</v>
      </c>
      <c r="AX15" s="612" t="s">
        <v>1120</v>
      </c>
      <c r="AY15" s="613" t="s">
        <v>1746</v>
      </c>
      <c r="AZ15" s="612" t="s">
        <v>1120</v>
      </c>
      <c r="BA15" s="613" t="s">
        <v>1746</v>
      </c>
      <c r="BB15" s="608" t="s">
        <v>2693</v>
      </c>
      <c r="BC15" s="608" t="s">
        <v>2942</v>
      </c>
      <c r="BD15" s="608" t="s">
        <v>2694</v>
      </c>
      <c r="BE15" s="608" t="s">
        <v>2686</v>
      </c>
      <c r="BF15" s="608">
        <v>9</v>
      </c>
      <c r="BG15" s="608">
        <v>0.75</v>
      </c>
      <c r="BH15" s="608" t="s">
        <v>2946</v>
      </c>
      <c r="BI15" s="608" t="s">
        <v>2789</v>
      </c>
      <c r="BJ15" s="612" t="s">
        <v>1120</v>
      </c>
      <c r="BK15" s="613" t="s">
        <v>1746</v>
      </c>
    </row>
    <row r="16" spans="1:63" ht="11.1" customHeight="1">
      <c r="A16" s="230" t="s">
        <v>846</v>
      </c>
      <c r="B16" s="228" t="s">
        <v>1747</v>
      </c>
      <c r="C16" s="309">
        <v>5.5</v>
      </c>
      <c r="D16" s="309">
        <v>5.5</v>
      </c>
      <c r="E16" s="261">
        <v>5</v>
      </c>
      <c r="F16" s="261">
        <v>5</v>
      </c>
      <c r="G16" s="261">
        <v>5.5</v>
      </c>
      <c r="H16" s="261">
        <v>5.75</v>
      </c>
      <c r="I16" s="261">
        <v>5.5</v>
      </c>
      <c r="J16" s="186" t="s">
        <v>2341</v>
      </c>
      <c r="K16" s="261" t="s">
        <v>2687</v>
      </c>
      <c r="L16" s="261" t="s">
        <v>2897</v>
      </c>
      <c r="M16" s="261">
        <v>6</v>
      </c>
      <c r="N16" s="261" t="s">
        <v>2898</v>
      </c>
      <c r="O16" s="261" t="s">
        <v>2937</v>
      </c>
      <c r="P16" s="261">
        <v>4.75</v>
      </c>
      <c r="Q16" s="261">
        <v>6</v>
      </c>
      <c r="R16" s="230" t="s">
        <v>846</v>
      </c>
      <c r="S16" s="228" t="s">
        <v>1747</v>
      </c>
      <c r="T16" s="230" t="s">
        <v>846</v>
      </c>
      <c r="U16" s="228" t="s">
        <v>1747</v>
      </c>
      <c r="V16" s="186">
        <v>4</v>
      </c>
      <c r="W16" s="186" t="s">
        <v>2898</v>
      </c>
      <c r="X16" s="186">
        <v>5</v>
      </c>
      <c r="Y16" s="186">
        <v>5.75</v>
      </c>
      <c r="Z16" s="186" t="s">
        <v>104</v>
      </c>
      <c r="AA16" s="186">
        <v>5</v>
      </c>
      <c r="AB16" s="186" t="s">
        <v>2976</v>
      </c>
      <c r="AC16" s="186">
        <v>6.5</v>
      </c>
      <c r="AD16" s="186" t="s">
        <v>2839</v>
      </c>
      <c r="AE16" s="186" t="s">
        <v>1252</v>
      </c>
      <c r="AF16" s="186" t="s">
        <v>2688</v>
      </c>
      <c r="AG16" s="186">
        <v>5</v>
      </c>
      <c r="AH16" s="230" t="s">
        <v>846</v>
      </c>
      <c r="AI16" s="228" t="s">
        <v>1747</v>
      </c>
      <c r="AJ16" s="230" t="s">
        <v>846</v>
      </c>
      <c r="AK16" s="228" t="s">
        <v>1747</v>
      </c>
      <c r="AL16" s="261">
        <v>5.5</v>
      </c>
      <c r="AM16" s="261">
        <v>7</v>
      </c>
      <c r="AN16" s="261" t="s">
        <v>2691</v>
      </c>
      <c r="AO16" s="260" t="s">
        <v>2927</v>
      </c>
      <c r="AP16" s="261" t="s">
        <v>2838</v>
      </c>
      <c r="AQ16" s="261">
        <v>7</v>
      </c>
      <c r="AR16" s="261">
        <v>7</v>
      </c>
      <c r="AS16" s="261" t="s">
        <v>2864</v>
      </c>
      <c r="AT16" s="261">
        <v>7</v>
      </c>
      <c r="AU16" s="261">
        <v>5.5</v>
      </c>
      <c r="AV16" s="261">
        <v>5.5</v>
      </c>
      <c r="AW16" s="261" t="s">
        <v>2983</v>
      </c>
      <c r="AX16" s="230" t="s">
        <v>846</v>
      </c>
      <c r="AY16" s="228" t="s">
        <v>1747</v>
      </c>
      <c r="AZ16" s="230" t="s">
        <v>846</v>
      </c>
      <c r="BA16" s="228" t="s">
        <v>1747</v>
      </c>
      <c r="BB16" s="260" t="s">
        <v>2723</v>
      </c>
      <c r="BC16" s="260" t="s">
        <v>2943</v>
      </c>
      <c r="BD16" s="261" t="s">
        <v>2694</v>
      </c>
      <c r="BE16" s="261" t="s">
        <v>2686</v>
      </c>
      <c r="BF16" s="261">
        <v>9.5</v>
      </c>
      <c r="BG16" s="261">
        <v>0.7</v>
      </c>
      <c r="BH16" s="261" t="s">
        <v>2897</v>
      </c>
      <c r="BI16" s="261" t="s">
        <v>2842</v>
      </c>
      <c r="BJ16" s="230" t="s">
        <v>846</v>
      </c>
      <c r="BK16" s="228" t="s">
        <v>1747</v>
      </c>
    </row>
    <row r="17" spans="1:63" ht="11.1" customHeight="1">
      <c r="A17" s="612" t="s">
        <v>847</v>
      </c>
      <c r="B17" s="613" t="s">
        <v>1748</v>
      </c>
      <c r="C17" s="607">
        <v>5.5</v>
      </c>
      <c r="D17" s="949" t="s">
        <v>104</v>
      </c>
      <c r="E17" s="608" t="s">
        <v>104</v>
      </c>
      <c r="F17" s="608">
        <v>5</v>
      </c>
      <c r="G17" s="608">
        <v>5.75</v>
      </c>
      <c r="H17" s="608">
        <v>5.75</v>
      </c>
      <c r="I17" s="608" t="s">
        <v>104</v>
      </c>
      <c r="J17" s="610" t="s">
        <v>2341</v>
      </c>
      <c r="K17" s="608">
        <v>6.5</v>
      </c>
      <c r="L17" s="608">
        <v>5.25</v>
      </c>
      <c r="M17" s="608">
        <v>6</v>
      </c>
      <c r="N17" s="616" t="s">
        <v>104</v>
      </c>
      <c r="O17" s="608" t="s">
        <v>2811</v>
      </c>
      <c r="P17" s="608">
        <v>4.75</v>
      </c>
      <c r="Q17" s="608">
        <v>6</v>
      </c>
      <c r="R17" s="612" t="s">
        <v>847</v>
      </c>
      <c r="S17" s="613" t="s">
        <v>1748</v>
      </c>
      <c r="T17" s="612" t="s">
        <v>847</v>
      </c>
      <c r="U17" s="613" t="s">
        <v>1748</v>
      </c>
      <c r="V17" s="610">
        <v>4</v>
      </c>
      <c r="W17" s="610" t="s">
        <v>104</v>
      </c>
      <c r="X17" s="610">
        <v>4</v>
      </c>
      <c r="Y17" s="617" t="s">
        <v>104</v>
      </c>
      <c r="Z17" s="610" t="s">
        <v>104</v>
      </c>
      <c r="AA17" s="610">
        <v>5</v>
      </c>
      <c r="AB17" s="610" t="s">
        <v>2977</v>
      </c>
      <c r="AC17" s="610" t="s">
        <v>104</v>
      </c>
      <c r="AD17" s="610" t="s">
        <v>2839</v>
      </c>
      <c r="AE17" s="610" t="s">
        <v>1252</v>
      </c>
      <c r="AF17" s="610" t="s">
        <v>104</v>
      </c>
      <c r="AG17" s="610">
        <v>5</v>
      </c>
      <c r="AH17" s="612" t="s">
        <v>847</v>
      </c>
      <c r="AI17" s="613" t="s">
        <v>1748</v>
      </c>
      <c r="AJ17" s="612" t="s">
        <v>847</v>
      </c>
      <c r="AK17" s="613" t="s">
        <v>1748</v>
      </c>
      <c r="AL17" s="608">
        <v>5.5</v>
      </c>
      <c r="AM17" s="611" t="s">
        <v>104</v>
      </c>
      <c r="AN17" s="608" t="s">
        <v>2691</v>
      </c>
      <c r="AO17" s="611" t="s">
        <v>2928</v>
      </c>
      <c r="AP17" s="608">
        <v>5.5</v>
      </c>
      <c r="AQ17" s="608" t="s">
        <v>104</v>
      </c>
      <c r="AR17" s="608" t="s">
        <v>104</v>
      </c>
      <c r="AS17" s="608" t="s">
        <v>2981</v>
      </c>
      <c r="AT17" s="608">
        <v>7.25</v>
      </c>
      <c r="AU17" s="608">
        <v>5.75</v>
      </c>
      <c r="AV17" s="608">
        <v>6</v>
      </c>
      <c r="AW17" s="608" t="s">
        <v>104</v>
      </c>
      <c r="AX17" s="612" t="s">
        <v>847</v>
      </c>
      <c r="AY17" s="613" t="s">
        <v>1748</v>
      </c>
      <c r="AZ17" s="612" t="s">
        <v>847</v>
      </c>
      <c r="BA17" s="613" t="s">
        <v>1748</v>
      </c>
      <c r="BB17" s="611" t="s">
        <v>2695</v>
      </c>
      <c r="BC17" s="611" t="s">
        <v>2944</v>
      </c>
      <c r="BD17" s="608" t="s">
        <v>2694</v>
      </c>
      <c r="BE17" s="608">
        <v>4.5</v>
      </c>
      <c r="BF17" s="608">
        <v>9.5</v>
      </c>
      <c r="BG17" s="608" t="s">
        <v>104</v>
      </c>
      <c r="BH17" s="608" t="s">
        <v>2897</v>
      </c>
      <c r="BI17" s="608" t="s">
        <v>2901</v>
      </c>
      <c r="BJ17" s="612" t="s">
        <v>847</v>
      </c>
      <c r="BK17" s="613" t="s">
        <v>1748</v>
      </c>
    </row>
    <row r="18" spans="1:63" ht="11.1" customHeight="1">
      <c r="A18" s="230" t="s">
        <v>873</v>
      </c>
      <c r="B18" s="228" t="s">
        <v>1749</v>
      </c>
      <c r="C18" s="309" t="s">
        <v>104</v>
      </c>
      <c r="D18" s="310" t="s">
        <v>104</v>
      </c>
      <c r="E18" s="261" t="s">
        <v>104</v>
      </c>
      <c r="F18" s="261">
        <v>5</v>
      </c>
      <c r="G18" s="261">
        <v>5.75</v>
      </c>
      <c r="H18" s="261">
        <v>7</v>
      </c>
      <c r="I18" s="261" t="s">
        <v>104</v>
      </c>
      <c r="J18" s="186" t="s">
        <v>2341</v>
      </c>
      <c r="K18" s="261" t="s">
        <v>2861</v>
      </c>
      <c r="L18" s="261">
        <v>5.75</v>
      </c>
      <c r="M18" s="261" t="s">
        <v>104</v>
      </c>
      <c r="N18" s="261" t="s">
        <v>104</v>
      </c>
      <c r="O18" s="261" t="s">
        <v>2811</v>
      </c>
      <c r="P18" s="261" t="s">
        <v>104</v>
      </c>
      <c r="Q18" s="1524" t="s">
        <v>2783</v>
      </c>
      <c r="R18" s="230" t="s">
        <v>873</v>
      </c>
      <c r="S18" s="228" t="s">
        <v>1749</v>
      </c>
      <c r="T18" s="230" t="s">
        <v>873</v>
      </c>
      <c r="U18" s="228" t="s">
        <v>1749</v>
      </c>
      <c r="V18" s="186">
        <v>4</v>
      </c>
      <c r="W18" s="186" t="s">
        <v>104</v>
      </c>
      <c r="X18" s="186">
        <v>7.18</v>
      </c>
      <c r="Y18" s="186" t="s">
        <v>104</v>
      </c>
      <c r="Z18" s="186" t="s">
        <v>104</v>
      </c>
      <c r="AA18" s="186">
        <v>5</v>
      </c>
      <c r="AB18" s="186" t="s">
        <v>2978</v>
      </c>
      <c r="AC18" s="186" t="s">
        <v>104</v>
      </c>
      <c r="AD18" s="186" t="s">
        <v>2839</v>
      </c>
      <c r="AE18" s="186" t="s">
        <v>1252</v>
      </c>
      <c r="AF18" s="186" t="s">
        <v>104</v>
      </c>
      <c r="AG18" s="186">
        <v>5</v>
      </c>
      <c r="AH18" s="230" t="s">
        <v>873</v>
      </c>
      <c r="AI18" s="228" t="s">
        <v>1749</v>
      </c>
      <c r="AJ18" s="230" t="s">
        <v>873</v>
      </c>
      <c r="AK18" s="228" t="s">
        <v>1749</v>
      </c>
      <c r="AL18" s="261">
        <v>5.5</v>
      </c>
      <c r="AM18" s="261">
        <v>5.5</v>
      </c>
      <c r="AN18" s="261" t="s">
        <v>2691</v>
      </c>
      <c r="AO18" s="260" t="s">
        <v>2928</v>
      </c>
      <c r="AP18" s="261" t="s">
        <v>104</v>
      </c>
      <c r="AQ18" s="261" t="s">
        <v>104</v>
      </c>
      <c r="AR18" s="261" t="s">
        <v>104</v>
      </c>
      <c r="AS18" s="261" t="s">
        <v>104</v>
      </c>
      <c r="AT18" s="261">
        <v>8</v>
      </c>
      <c r="AU18" s="261">
        <v>6</v>
      </c>
      <c r="AV18" s="261">
        <v>6</v>
      </c>
      <c r="AW18" s="261" t="s">
        <v>104</v>
      </c>
      <c r="AX18" s="230" t="s">
        <v>873</v>
      </c>
      <c r="AY18" s="228" t="s">
        <v>1749</v>
      </c>
      <c r="AZ18" s="230" t="s">
        <v>873</v>
      </c>
      <c r="BA18" s="228" t="s">
        <v>1749</v>
      </c>
      <c r="BB18" s="260" t="s">
        <v>2899</v>
      </c>
      <c r="BC18" s="261" t="s">
        <v>2945</v>
      </c>
      <c r="BD18" s="261" t="s">
        <v>2694</v>
      </c>
      <c r="BE18" s="261">
        <v>4.5</v>
      </c>
      <c r="BF18" s="261">
        <v>9.5</v>
      </c>
      <c r="BG18" s="262" t="s">
        <v>104</v>
      </c>
      <c r="BH18" s="261" t="s">
        <v>2897</v>
      </c>
      <c r="BI18" s="261" t="s">
        <v>2902</v>
      </c>
      <c r="BJ18" s="230" t="s">
        <v>873</v>
      </c>
      <c r="BK18" s="228" t="s">
        <v>1749</v>
      </c>
    </row>
    <row r="19" spans="1:63" ht="11.25" customHeight="1">
      <c r="A19" s="2100" t="s">
        <v>406</v>
      </c>
      <c r="B19" s="2100"/>
      <c r="C19" s="608"/>
      <c r="D19" s="608"/>
      <c r="E19" s="608"/>
      <c r="F19" s="608"/>
      <c r="G19" s="608"/>
      <c r="H19" s="608"/>
      <c r="I19" s="608"/>
      <c r="J19" s="608"/>
      <c r="K19" s="608"/>
      <c r="L19" s="608"/>
      <c r="M19" s="608"/>
      <c r="N19" s="608"/>
      <c r="O19" s="611" t="s">
        <v>334</v>
      </c>
      <c r="P19" s="608"/>
      <c r="Q19" s="611"/>
      <c r="R19" s="2100" t="s">
        <v>406</v>
      </c>
      <c r="S19" s="2100"/>
      <c r="T19" s="2100" t="s">
        <v>406</v>
      </c>
      <c r="U19" s="2100"/>
      <c r="V19" s="610"/>
      <c r="W19" s="610"/>
      <c r="X19" s="610"/>
      <c r="Y19" s="610"/>
      <c r="Z19" s="610"/>
      <c r="AA19" s="610"/>
      <c r="AB19" s="609"/>
      <c r="AC19" s="609"/>
      <c r="AD19" s="609"/>
      <c r="AE19" s="609"/>
      <c r="AF19" s="609"/>
      <c r="AG19" s="610"/>
      <c r="AH19" s="2100" t="s">
        <v>406</v>
      </c>
      <c r="AI19" s="2100"/>
      <c r="AJ19" s="2100" t="s">
        <v>406</v>
      </c>
      <c r="AK19" s="2100"/>
      <c r="AL19" s="611"/>
      <c r="AM19" s="611"/>
      <c r="AN19" s="608"/>
      <c r="AO19" s="611"/>
      <c r="AP19" s="608"/>
      <c r="AQ19" s="608"/>
      <c r="AR19" s="608"/>
      <c r="AS19" s="608"/>
      <c r="AT19" s="608"/>
      <c r="AU19" s="608"/>
      <c r="AV19" s="608"/>
      <c r="AW19" s="608"/>
      <c r="AX19" s="2100" t="s">
        <v>406</v>
      </c>
      <c r="AY19" s="2100"/>
      <c r="AZ19" s="2100" t="s">
        <v>406</v>
      </c>
      <c r="BA19" s="2100"/>
      <c r="BB19" s="611"/>
      <c r="BC19" s="611"/>
      <c r="BD19" s="611"/>
      <c r="BE19" s="611"/>
      <c r="BF19" s="611"/>
      <c r="BG19" s="611"/>
      <c r="BH19" s="608"/>
      <c r="BI19" s="608"/>
      <c r="BJ19" s="2100" t="s">
        <v>406</v>
      </c>
      <c r="BK19" s="2100"/>
    </row>
    <row r="20" spans="1:63" ht="12" customHeight="1">
      <c r="A20" s="2101" t="s">
        <v>407</v>
      </c>
      <c r="B20" s="2101"/>
      <c r="C20" s="261"/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260"/>
      <c r="P20" s="261"/>
      <c r="Q20" s="260"/>
      <c r="R20" s="2101" t="s">
        <v>407</v>
      </c>
      <c r="S20" s="2101"/>
      <c r="T20" s="2101" t="s">
        <v>407</v>
      </c>
      <c r="U20" s="2101"/>
      <c r="V20" s="187"/>
      <c r="W20" s="186"/>
      <c r="X20" s="186"/>
      <c r="Y20" s="186"/>
      <c r="Z20" s="186"/>
      <c r="AA20" s="186"/>
      <c r="AB20" s="104"/>
      <c r="AC20" s="104"/>
      <c r="AD20" s="104"/>
      <c r="AE20" s="104"/>
      <c r="AF20" s="104"/>
      <c r="AG20" s="186"/>
      <c r="AH20" s="2101" t="s">
        <v>407</v>
      </c>
      <c r="AI20" s="2101"/>
      <c r="AJ20" s="2101" t="s">
        <v>407</v>
      </c>
      <c r="AK20" s="2101"/>
      <c r="AL20" s="260"/>
      <c r="AM20" s="260"/>
      <c r="AN20" s="261"/>
      <c r="AO20" s="260"/>
      <c r="AP20" s="261"/>
      <c r="AQ20" s="261"/>
      <c r="AR20" s="261"/>
      <c r="AS20" s="261"/>
      <c r="AT20" s="261"/>
      <c r="AU20" s="261"/>
      <c r="AV20" s="261"/>
      <c r="AW20" s="261"/>
      <c r="AX20" s="2101" t="s">
        <v>407</v>
      </c>
      <c r="AY20" s="2101"/>
      <c r="AZ20" s="2101" t="s">
        <v>407</v>
      </c>
      <c r="BA20" s="2101"/>
      <c r="BB20" s="260"/>
      <c r="BC20" s="260"/>
      <c r="BD20" s="260"/>
      <c r="BE20" s="260"/>
      <c r="BF20" s="260"/>
      <c r="BG20" s="260"/>
      <c r="BH20" s="261"/>
      <c r="BI20" s="261"/>
      <c r="BJ20" s="2101" t="s">
        <v>407</v>
      </c>
      <c r="BK20" s="2101"/>
    </row>
    <row r="21" spans="1:63" ht="11.1" customHeight="1">
      <c r="A21" s="618"/>
      <c r="B21" s="582" t="s">
        <v>408</v>
      </c>
      <c r="C21" s="610" t="s">
        <v>1940</v>
      </c>
      <c r="D21" s="608">
        <v>9</v>
      </c>
      <c r="E21" s="1527" t="s">
        <v>1940</v>
      </c>
      <c r="F21" s="610" t="s">
        <v>1940</v>
      </c>
      <c r="G21" s="608">
        <v>10</v>
      </c>
      <c r="H21" s="608">
        <v>10</v>
      </c>
      <c r="I21" s="610">
        <v>10</v>
      </c>
      <c r="J21" s="610">
        <v>10</v>
      </c>
      <c r="K21" s="608">
        <v>8.5</v>
      </c>
      <c r="L21" s="608">
        <v>10</v>
      </c>
      <c r="M21" s="608">
        <v>10</v>
      </c>
      <c r="N21" s="610" t="s">
        <v>2662</v>
      </c>
      <c r="O21" s="608">
        <v>10</v>
      </c>
      <c r="P21" s="608">
        <v>10</v>
      </c>
      <c r="Q21" s="608">
        <v>10</v>
      </c>
      <c r="R21" s="549"/>
      <c r="S21" s="582" t="s">
        <v>408</v>
      </c>
      <c r="T21" s="549"/>
      <c r="U21" s="582" t="s">
        <v>408</v>
      </c>
      <c r="V21" s="610" t="s">
        <v>2812</v>
      </c>
      <c r="W21" s="610">
        <v>10</v>
      </c>
      <c r="X21" s="610">
        <v>10</v>
      </c>
      <c r="Y21" s="610">
        <v>10</v>
      </c>
      <c r="Z21" s="610">
        <v>10</v>
      </c>
      <c r="AA21" s="610" t="s">
        <v>2662</v>
      </c>
      <c r="AB21" s="610" t="s">
        <v>2662</v>
      </c>
      <c r="AC21" s="610">
        <v>10</v>
      </c>
      <c r="AD21" s="610">
        <v>10</v>
      </c>
      <c r="AE21" s="610">
        <v>10</v>
      </c>
      <c r="AF21" s="610" t="s">
        <v>1940</v>
      </c>
      <c r="AG21" s="610" t="s">
        <v>1940</v>
      </c>
      <c r="AH21" s="549"/>
      <c r="AI21" s="582" t="s">
        <v>408</v>
      </c>
      <c r="AJ21" s="549"/>
      <c r="AK21" s="582" t="s">
        <v>408</v>
      </c>
      <c r="AL21" s="608" t="s">
        <v>2812</v>
      </c>
      <c r="AM21" s="608" t="s">
        <v>2813</v>
      </c>
      <c r="AN21" s="608" t="s">
        <v>2411</v>
      </c>
      <c r="AO21" s="610" t="s">
        <v>2662</v>
      </c>
      <c r="AP21" s="608">
        <v>10</v>
      </c>
      <c r="AQ21" s="608">
        <v>10</v>
      </c>
      <c r="AR21" s="608">
        <v>10</v>
      </c>
      <c r="AS21" s="608">
        <v>10</v>
      </c>
      <c r="AT21" s="608" t="s">
        <v>2812</v>
      </c>
      <c r="AU21" s="608">
        <v>10</v>
      </c>
      <c r="AV21" s="608" t="s">
        <v>2813</v>
      </c>
      <c r="AW21" s="608">
        <v>10</v>
      </c>
      <c r="AX21" s="549"/>
      <c r="AY21" s="582" t="s">
        <v>408</v>
      </c>
      <c r="AZ21" s="549"/>
      <c r="BA21" s="582" t="s">
        <v>408</v>
      </c>
      <c r="BB21" s="608" t="s">
        <v>2662</v>
      </c>
      <c r="BC21" s="608" t="s">
        <v>2903</v>
      </c>
      <c r="BD21" s="608" t="s">
        <v>2662</v>
      </c>
      <c r="BE21" s="608" t="s">
        <v>2411</v>
      </c>
      <c r="BF21" s="608" t="s">
        <v>2841</v>
      </c>
      <c r="BG21" s="608" t="s">
        <v>2724</v>
      </c>
      <c r="BH21" s="608" t="s">
        <v>2815</v>
      </c>
      <c r="BI21" s="608">
        <v>10</v>
      </c>
      <c r="BJ21" s="549"/>
      <c r="BK21" s="582" t="s">
        <v>408</v>
      </c>
    </row>
    <row r="22" spans="1:63" ht="11.1" customHeight="1">
      <c r="A22" s="47"/>
      <c r="B22" s="243" t="s">
        <v>409</v>
      </c>
      <c r="C22" s="261" t="s">
        <v>104</v>
      </c>
      <c r="D22" s="261" t="s">
        <v>104</v>
      </c>
      <c r="E22" s="261" t="s">
        <v>104</v>
      </c>
      <c r="F22" s="261" t="s">
        <v>104</v>
      </c>
      <c r="G22" s="261" t="s">
        <v>104</v>
      </c>
      <c r="H22" s="261" t="s">
        <v>104</v>
      </c>
      <c r="I22" s="261" t="s">
        <v>104</v>
      </c>
      <c r="J22" s="186"/>
      <c r="K22" s="261" t="s">
        <v>104</v>
      </c>
      <c r="L22" s="261" t="s">
        <v>104</v>
      </c>
      <c r="M22" s="261" t="s">
        <v>104</v>
      </c>
      <c r="N22" s="161" t="s">
        <v>2662</v>
      </c>
      <c r="O22" s="260" t="s">
        <v>104</v>
      </c>
      <c r="P22" s="261" t="s">
        <v>104</v>
      </c>
      <c r="Q22" s="261" t="s">
        <v>104</v>
      </c>
      <c r="S22" s="243" t="s">
        <v>409</v>
      </c>
      <c r="U22" s="243" t="s">
        <v>409</v>
      </c>
      <c r="V22" s="186"/>
      <c r="W22" s="186" t="s">
        <v>104</v>
      </c>
      <c r="X22" s="186" t="s">
        <v>104</v>
      </c>
      <c r="Y22" s="186" t="s">
        <v>104</v>
      </c>
      <c r="Z22" s="186" t="s">
        <v>104</v>
      </c>
      <c r="AA22" s="186" t="s">
        <v>104</v>
      </c>
      <c r="AB22" s="186" t="s">
        <v>2662</v>
      </c>
      <c r="AC22" s="186" t="s">
        <v>104</v>
      </c>
      <c r="AD22" s="186" t="s">
        <v>104</v>
      </c>
      <c r="AE22" s="186" t="s">
        <v>104</v>
      </c>
      <c r="AF22" s="186" t="s">
        <v>2984</v>
      </c>
      <c r="AG22" s="186" t="s">
        <v>104</v>
      </c>
      <c r="AI22" s="243" t="s">
        <v>409</v>
      </c>
      <c r="AK22" s="243" t="s">
        <v>409</v>
      </c>
      <c r="AL22" s="261" t="s">
        <v>104</v>
      </c>
      <c r="AM22" s="261"/>
      <c r="AN22" s="261" t="s">
        <v>104</v>
      </c>
      <c r="AO22" s="261" t="s">
        <v>104</v>
      </c>
      <c r="AP22" s="261" t="s">
        <v>104</v>
      </c>
      <c r="AQ22" s="261" t="s">
        <v>104</v>
      </c>
      <c r="AR22" s="261" t="s">
        <v>104</v>
      </c>
      <c r="AS22" s="261" t="s">
        <v>104</v>
      </c>
      <c r="AT22" s="261" t="s">
        <v>104</v>
      </c>
      <c r="AU22" s="261" t="s">
        <v>104</v>
      </c>
      <c r="AV22" s="261" t="s">
        <v>104</v>
      </c>
      <c r="AW22" s="261" t="s">
        <v>104</v>
      </c>
      <c r="AY22" s="243" t="s">
        <v>409</v>
      </c>
      <c r="BA22" s="243" t="s">
        <v>409</v>
      </c>
      <c r="BB22" s="261" t="s">
        <v>104</v>
      </c>
      <c r="BC22" s="261" t="s">
        <v>104</v>
      </c>
      <c r="BD22" s="261" t="s">
        <v>104</v>
      </c>
      <c r="BE22" s="260" t="s">
        <v>104</v>
      </c>
      <c r="BF22" s="261" t="s">
        <v>104</v>
      </c>
      <c r="BG22" s="261" t="s">
        <v>104</v>
      </c>
      <c r="BH22" s="261" t="s">
        <v>104</v>
      </c>
      <c r="BI22" s="1180" t="s">
        <v>104</v>
      </c>
      <c r="BK22" s="243" t="s">
        <v>409</v>
      </c>
    </row>
    <row r="23" spans="1:63" ht="23.25" customHeight="1">
      <c r="A23" s="2100" t="s">
        <v>418</v>
      </c>
      <c r="B23" s="2100"/>
      <c r="C23" s="608"/>
      <c r="D23" s="608"/>
      <c r="E23" s="608"/>
      <c r="F23" s="608"/>
      <c r="G23" s="608"/>
      <c r="H23" s="608"/>
      <c r="I23" s="608"/>
      <c r="J23" s="610"/>
      <c r="K23" s="608"/>
      <c r="L23" s="608"/>
      <c r="M23" s="608"/>
      <c r="N23" s="608"/>
      <c r="O23" s="611"/>
      <c r="P23" s="608"/>
      <c r="Q23" s="611"/>
      <c r="R23" s="2100" t="s">
        <v>418</v>
      </c>
      <c r="S23" s="2100"/>
      <c r="T23" s="2100" t="s">
        <v>418</v>
      </c>
      <c r="U23" s="2100"/>
      <c r="V23" s="610"/>
      <c r="W23" s="610"/>
      <c r="X23" s="610"/>
      <c r="Y23" s="610"/>
      <c r="Z23" s="610"/>
      <c r="AA23" s="610"/>
      <c r="AB23" s="610"/>
      <c r="AC23" s="610"/>
      <c r="AD23" s="610"/>
      <c r="AE23" s="610"/>
      <c r="AF23" s="610"/>
      <c r="AG23" s="610"/>
      <c r="AH23" s="2100" t="s">
        <v>418</v>
      </c>
      <c r="AI23" s="2100"/>
      <c r="AJ23" s="2100" t="s">
        <v>418</v>
      </c>
      <c r="AK23" s="2100"/>
      <c r="AL23" s="611"/>
      <c r="AM23" s="611"/>
      <c r="AN23" s="608"/>
      <c r="AO23" s="608"/>
      <c r="AP23" s="608"/>
      <c r="AQ23" s="608"/>
      <c r="AR23" s="608"/>
      <c r="AS23" s="608"/>
      <c r="AT23" s="608"/>
      <c r="AU23" s="608"/>
      <c r="AV23" s="608"/>
      <c r="AW23" s="608"/>
      <c r="AX23" s="2100" t="s">
        <v>418</v>
      </c>
      <c r="AY23" s="2100"/>
      <c r="AZ23" s="2100" t="s">
        <v>418</v>
      </c>
      <c r="BA23" s="2100"/>
      <c r="BB23" s="611"/>
      <c r="BC23" s="608"/>
      <c r="BD23" s="608"/>
      <c r="BE23" s="611"/>
      <c r="BF23" s="608"/>
      <c r="BG23" s="608"/>
      <c r="BH23" s="608"/>
      <c r="BI23" s="608"/>
      <c r="BJ23" s="2100" t="s">
        <v>418</v>
      </c>
      <c r="BK23" s="2100"/>
    </row>
    <row r="24" spans="1:63" ht="11.1" customHeight="1">
      <c r="B24" s="243" t="s">
        <v>408</v>
      </c>
      <c r="C24" s="261">
        <v>13</v>
      </c>
      <c r="D24" s="161">
        <v>12</v>
      </c>
      <c r="E24" s="186">
        <v>13</v>
      </c>
      <c r="F24" s="261">
        <v>13</v>
      </c>
      <c r="G24" s="161" t="s">
        <v>2744</v>
      </c>
      <c r="H24" s="186" t="s">
        <v>1735</v>
      </c>
      <c r="I24" s="261" t="s">
        <v>104</v>
      </c>
      <c r="J24" s="186">
        <v>13</v>
      </c>
      <c r="K24" s="261" t="s">
        <v>2867</v>
      </c>
      <c r="L24" s="261" t="s">
        <v>2725</v>
      </c>
      <c r="M24" s="186" t="s">
        <v>1630</v>
      </c>
      <c r="N24" s="161" t="s">
        <v>1630</v>
      </c>
      <c r="O24" s="261" t="s">
        <v>1630</v>
      </c>
      <c r="P24" s="396" t="s">
        <v>2746</v>
      </c>
      <c r="Q24" s="161" t="s">
        <v>1941</v>
      </c>
      <c r="S24" s="243" t="s">
        <v>408</v>
      </c>
      <c r="U24" s="243" t="s">
        <v>408</v>
      </c>
      <c r="V24" s="186" t="s">
        <v>2725</v>
      </c>
      <c r="W24" s="186" t="s">
        <v>2342</v>
      </c>
      <c r="X24" s="186" t="s">
        <v>2725</v>
      </c>
      <c r="Y24" s="186" t="s">
        <v>104</v>
      </c>
      <c r="Z24" s="186">
        <v>14</v>
      </c>
      <c r="AA24" s="186" t="s">
        <v>2725</v>
      </c>
      <c r="AB24" s="186" t="s">
        <v>2342</v>
      </c>
      <c r="AC24" s="186" t="s">
        <v>2747</v>
      </c>
      <c r="AD24" s="186" t="s">
        <v>1622</v>
      </c>
      <c r="AE24" s="186" t="s">
        <v>1946</v>
      </c>
      <c r="AF24" s="396" t="s">
        <v>2755</v>
      </c>
      <c r="AG24" s="186" t="s">
        <v>1947</v>
      </c>
      <c r="AI24" s="243" t="s">
        <v>408</v>
      </c>
      <c r="AK24" s="243" t="s">
        <v>408</v>
      </c>
      <c r="AL24" s="261" t="s">
        <v>1947</v>
      </c>
      <c r="AM24" s="261" t="s">
        <v>1630</v>
      </c>
      <c r="AN24" s="261" t="s">
        <v>2330</v>
      </c>
      <c r="AO24" s="261" t="s">
        <v>1630</v>
      </c>
      <c r="AP24" s="261">
        <v>12.5</v>
      </c>
      <c r="AQ24" s="261" t="s">
        <v>1947</v>
      </c>
      <c r="AR24" s="261" t="s">
        <v>2745</v>
      </c>
      <c r="AS24" s="261" t="s">
        <v>1630</v>
      </c>
      <c r="AT24" s="261" t="s">
        <v>2746</v>
      </c>
      <c r="AU24" s="261" t="s">
        <v>2745</v>
      </c>
      <c r="AV24" s="261" t="s">
        <v>2342</v>
      </c>
      <c r="AW24" s="261">
        <v>13</v>
      </c>
      <c r="AY24" s="243" t="s">
        <v>408</v>
      </c>
      <c r="BA24" s="243" t="s">
        <v>408</v>
      </c>
      <c r="BB24" s="261" t="s">
        <v>2330</v>
      </c>
      <c r="BC24" s="261" t="s">
        <v>2330</v>
      </c>
      <c r="BD24" s="261" t="s">
        <v>2342</v>
      </c>
      <c r="BE24" s="261" t="s">
        <v>1941</v>
      </c>
      <c r="BF24" s="261" t="s">
        <v>2763</v>
      </c>
      <c r="BG24" s="261" t="s">
        <v>2725</v>
      </c>
      <c r="BH24" s="261" t="s">
        <v>2783</v>
      </c>
      <c r="BI24" s="261" t="s">
        <v>2330</v>
      </c>
      <c r="BK24" s="243" t="s">
        <v>408</v>
      </c>
    </row>
    <row r="25" spans="1:63" ht="11.1" customHeight="1">
      <c r="A25" s="549"/>
      <c r="B25" s="582" t="s">
        <v>409</v>
      </c>
      <c r="C25" s="608" t="s">
        <v>104</v>
      </c>
      <c r="D25" s="608" t="s">
        <v>104</v>
      </c>
      <c r="E25" s="608" t="s">
        <v>104</v>
      </c>
      <c r="F25" s="608" t="s">
        <v>104</v>
      </c>
      <c r="G25" s="608" t="s">
        <v>104</v>
      </c>
      <c r="H25" s="608" t="s">
        <v>104</v>
      </c>
      <c r="I25" s="608">
        <v>13</v>
      </c>
      <c r="J25" s="610" t="s">
        <v>104</v>
      </c>
      <c r="K25" s="608" t="s">
        <v>104</v>
      </c>
      <c r="L25" s="608" t="s">
        <v>104</v>
      </c>
      <c r="M25" s="608" t="s">
        <v>104</v>
      </c>
      <c r="N25" s="1413" t="s">
        <v>1630</v>
      </c>
      <c r="O25" s="608" t="s">
        <v>104</v>
      </c>
      <c r="P25" s="611" t="s">
        <v>104</v>
      </c>
      <c r="Q25" s="611" t="s">
        <v>104</v>
      </c>
      <c r="R25" s="549"/>
      <c r="S25" s="582" t="s">
        <v>409</v>
      </c>
      <c r="T25" s="549"/>
      <c r="U25" s="582" t="s">
        <v>409</v>
      </c>
      <c r="V25" s="610"/>
      <c r="W25" s="610" t="s">
        <v>104</v>
      </c>
      <c r="X25" s="610" t="s">
        <v>104</v>
      </c>
      <c r="Y25" s="610" t="s">
        <v>2746</v>
      </c>
      <c r="Z25" s="610" t="s">
        <v>104</v>
      </c>
      <c r="AA25" s="610" t="s">
        <v>104</v>
      </c>
      <c r="AB25" s="610" t="s">
        <v>2342</v>
      </c>
      <c r="AC25" s="610" t="s">
        <v>2869</v>
      </c>
      <c r="AD25" s="610" t="s">
        <v>104</v>
      </c>
      <c r="AE25" s="1251" t="s">
        <v>104</v>
      </c>
      <c r="AF25" s="550" t="s">
        <v>104</v>
      </c>
      <c r="AG25" s="610" t="s">
        <v>104</v>
      </c>
      <c r="AH25" s="549"/>
      <c r="AI25" s="582" t="s">
        <v>409</v>
      </c>
      <c r="AJ25" s="549"/>
      <c r="AK25" s="582" t="s">
        <v>409</v>
      </c>
      <c r="AL25" s="1181" t="s">
        <v>104</v>
      </c>
      <c r="AM25" s="608" t="s">
        <v>1630</v>
      </c>
      <c r="AN25" s="608" t="s">
        <v>104</v>
      </c>
      <c r="AO25" s="1181" t="s">
        <v>104</v>
      </c>
      <c r="AP25" s="608" t="s">
        <v>104</v>
      </c>
      <c r="AQ25" s="608" t="s">
        <v>104</v>
      </c>
      <c r="AR25" s="608" t="s">
        <v>104</v>
      </c>
      <c r="AS25" s="608" t="s">
        <v>104</v>
      </c>
      <c r="AT25" s="608" t="s">
        <v>104</v>
      </c>
      <c r="AU25" s="608" t="s">
        <v>104</v>
      </c>
      <c r="AV25" s="608" t="s">
        <v>104</v>
      </c>
      <c r="AW25" s="608"/>
      <c r="AX25" s="549"/>
      <c r="AY25" s="582" t="s">
        <v>409</v>
      </c>
      <c r="AZ25" s="549"/>
      <c r="BA25" s="582" t="s">
        <v>409</v>
      </c>
      <c r="BB25" s="608" t="s">
        <v>104</v>
      </c>
      <c r="BC25" s="608" t="s">
        <v>2330</v>
      </c>
      <c r="BD25" s="608" t="s">
        <v>104</v>
      </c>
      <c r="BE25" s="611" t="s">
        <v>104</v>
      </c>
      <c r="BF25" s="608" t="s">
        <v>104</v>
      </c>
      <c r="BG25" s="1181" t="s">
        <v>104</v>
      </c>
      <c r="BH25" s="608" t="s">
        <v>104</v>
      </c>
      <c r="BI25" s="1181" t="s">
        <v>104</v>
      </c>
      <c r="BJ25" s="549"/>
      <c r="BK25" s="582" t="s">
        <v>409</v>
      </c>
    </row>
    <row r="26" spans="1:63" ht="24" customHeight="1">
      <c r="A26" s="2101" t="s">
        <v>50</v>
      </c>
      <c r="B26" s="2101"/>
      <c r="C26" s="261"/>
      <c r="D26" s="261"/>
      <c r="E26" s="261"/>
      <c r="F26" s="261"/>
      <c r="G26" s="261"/>
      <c r="H26" s="261"/>
      <c r="I26" s="261"/>
      <c r="J26" s="186"/>
      <c r="K26" s="261"/>
      <c r="L26" s="261"/>
      <c r="M26" s="261"/>
      <c r="N26" s="261"/>
      <c r="O26" s="261"/>
      <c r="P26" s="260"/>
      <c r="Q26" s="260"/>
      <c r="R26" s="2101" t="s">
        <v>50</v>
      </c>
      <c r="S26" s="2101"/>
      <c r="T26" s="2101" t="s">
        <v>50</v>
      </c>
      <c r="U26" s="2101"/>
      <c r="V26" s="186" t="s">
        <v>1310</v>
      </c>
      <c r="W26" s="186"/>
      <c r="X26" s="186"/>
      <c r="Y26" s="186"/>
      <c r="Z26" s="186"/>
      <c r="AA26" s="186"/>
      <c r="AB26" s="186"/>
      <c r="AC26" s="186"/>
      <c r="AD26" s="186"/>
      <c r="AE26" s="186"/>
      <c r="AF26" s="186"/>
      <c r="AG26" s="186"/>
      <c r="AH26" s="2101" t="s">
        <v>50</v>
      </c>
      <c r="AI26" s="2101"/>
      <c r="AJ26" s="2101" t="s">
        <v>50</v>
      </c>
      <c r="AK26" s="2101"/>
      <c r="AL26" s="261"/>
      <c r="AM26" s="261"/>
      <c r="AN26" s="261"/>
      <c r="AO26" s="261"/>
      <c r="AP26" s="261"/>
      <c r="AQ26" s="261"/>
      <c r="AR26" s="261"/>
      <c r="AS26" s="261"/>
      <c r="AT26" s="261"/>
      <c r="AU26" s="261"/>
      <c r="AV26" s="261"/>
      <c r="AW26" s="261"/>
      <c r="AX26" s="2101" t="s">
        <v>50</v>
      </c>
      <c r="AY26" s="2101"/>
      <c r="AZ26" s="2101" t="s">
        <v>50</v>
      </c>
      <c r="BA26" s="2101"/>
      <c r="BB26" s="261"/>
      <c r="BC26" s="261"/>
      <c r="BD26" s="261"/>
      <c r="BE26" s="260"/>
      <c r="BF26" s="261"/>
      <c r="BG26" s="261"/>
      <c r="BH26" s="261"/>
      <c r="BI26" s="261"/>
      <c r="BJ26" s="2101" t="s">
        <v>50</v>
      </c>
      <c r="BK26" s="2101"/>
    </row>
    <row r="27" spans="1:63" ht="11.1" customHeight="1">
      <c r="A27" s="549"/>
      <c r="B27" s="582" t="s">
        <v>408</v>
      </c>
      <c r="C27" s="610">
        <v>13</v>
      </c>
      <c r="D27" s="1413">
        <v>12</v>
      </c>
      <c r="E27" s="610">
        <v>13</v>
      </c>
      <c r="F27" s="608">
        <v>13</v>
      </c>
      <c r="G27" s="1413" t="s">
        <v>2748</v>
      </c>
      <c r="H27" s="1413" t="s">
        <v>1735</v>
      </c>
      <c r="I27" s="610" t="s">
        <v>104</v>
      </c>
      <c r="J27" s="610">
        <v>13</v>
      </c>
      <c r="K27" s="608">
        <v>15</v>
      </c>
      <c r="L27" s="608" t="s">
        <v>2746</v>
      </c>
      <c r="M27" s="610" t="s">
        <v>1946</v>
      </c>
      <c r="N27" s="1413" t="s">
        <v>2747</v>
      </c>
      <c r="O27" s="608" t="s">
        <v>1630</v>
      </c>
      <c r="P27" s="610" t="s">
        <v>1946</v>
      </c>
      <c r="Q27" s="1413" t="s">
        <v>1941</v>
      </c>
      <c r="R27" s="549"/>
      <c r="S27" s="582" t="s">
        <v>408</v>
      </c>
      <c r="T27" s="549"/>
      <c r="U27" s="582" t="s">
        <v>408</v>
      </c>
      <c r="V27" s="610" t="s">
        <v>2745</v>
      </c>
      <c r="W27" s="610" t="s">
        <v>2746</v>
      </c>
      <c r="X27" s="610" t="s">
        <v>2754</v>
      </c>
      <c r="Y27" s="610" t="s">
        <v>2747</v>
      </c>
      <c r="Z27" s="610">
        <v>14</v>
      </c>
      <c r="AA27" s="610" t="s">
        <v>1947</v>
      </c>
      <c r="AB27" s="610" t="s">
        <v>1630</v>
      </c>
      <c r="AC27" s="610" t="s">
        <v>2947</v>
      </c>
      <c r="AD27" s="610" t="s">
        <v>1942</v>
      </c>
      <c r="AE27" s="610" t="s">
        <v>1947</v>
      </c>
      <c r="AF27" s="610" t="s">
        <v>2755</v>
      </c>
      <c r="AG27" s="610" t="s">
        <v>1920</v>
      </c>
      <c r="AH27" s="549"/>
      <c r="AI27" s="582" t="s">
        <v>408</v>
      </c>
      <c r="AJ27" s="549"/>
      <c r="AK27" s="582" t="s">
        <v>408</v>
      </c>
      <c r="AL27" s="608" t="s">
        <v>1944</v>
      </c>
      <c r="AM27" s="608" t="s">
        <v>2754</v>
      </c>
      <c r="AN27" s="608" t="s">
        <v>2330</v>
      </c>
      <c r="AO27" s="610" t="s">
        <v>1944</v>
      </c>
      <c r="AP27" s="608">
        <v>13</v>
      </c>
      <c r="AQ27" s="608" t="s">
        <v>1947</v>
      </c>
      <c r="AR27" s="608" t="s">
        <v>1946</v>
      </c>
      <c r="AS27" s="608" t="s">
        <v>2804</v>
      </c>
      <c r="AT27" s="608" t="s">
        <v>2754</v>
      </c>
      <c r="AU27" s="608" t="s">
        <v>2745</v>
      </c>
      <c r="AV27" s="608" t="s">
        <v>2342</v>
      </c>
      <c r="AW27" s="608">
        <v>13</v>
      </c>
      <c r="AX27" s="549"/>
      <c r="AY27" s="582" t="s">
        <v>408</v>
      </c>
      <c r="AZ27" s="549"/>
      <c r="BA27" s="582" t="s">
        <v>408</v>
      </c>
      <c r="BB27" s="608" t="s">
        <v>1946</v>
      </c>
      <c r="BC27" s="608" t="s">
        <v>1920</v>
      </c>
      <c r="BD27" s="608" t="s">
        <v>1630</v>
      </c>
      <c r="BE27" s="608" t="s">
        <v>1631</v>
      </c>
      <c r="BF27" s="608" t="s">
        <v>2764</v>
      </c>
      <c r="BG27" s="608" t="s">
        <v>104</v>
      </c>
      <c r="BH27" s="608" t="s">
        <v>1941</v>
      </c>
      <c r="BI27" s="608" t="s">
        <v>2746</v>
      </c>
      <c r="BJ27" s="549"/>
      <c r="BK27" s="582" t="s">
        <v>408</v>
      </c>
    </row>
    <row r="28" spans="1:63" ht="11.1" customHeight="1">
      <c r="B28" s="243" t="s">
        <v>409</v>
      </c>
      <c r="C28" s="261" t="s">
        <v>104</v>
      </c>
      <c r="D28" s="261" t="s">
        <v>104</v>
      </c>
      <c r="E28" s="261" t="s">
        <v>104</v>
      </c>
      <c r="F28" s="262" t="s">
        <v>104</v>
      </c>
      <c r="G28" s="261" t="s">
        <v>104</v>
      </c>
      <c r="H28" s="261" t="s">
        <v>104</v>
      </c>
      <c r="I28" s="261">
        <v>13</v>
      </c>
      <c r="J28" s="186" t="s">
        <v>104</v>
      </c>
      <c r="K28" s="262" t="s">
        <v>104</v>
      </c>
      <c r="L28" s="261" t="s">
        <v>104</v>
      </c>
      <c r="M28" s="261" t="s">
        <v>104</v>
      </c>
      <c r="N28" s="261" t="s">
        <v>104</v>
      </c>
      <c r="O28" s="261" t="s">
        <v>104</v>
      </c>
      <c r="P28" s="260" t="s">
        <v>104</v>
      </c>
      <c r="Q28" s="260" t="s">
        <v>104</v>
      </c>
      <c r="S28" s="243" t="s">
        <v>409</v>
      </c>
      <c r="U28" s="243" t="s">
        <v>409</v>
      </c>
      <c r="V28" s="186" t="s">
        <v>104</v>
      </c>
      <c r="W28" s="186" t="s">
        <v>104</v>
      </c>
      <c r="X28" s="186" t="s">
        <v>104</v>
      </c>
      <c r="Y28" s="186" t="s">
        <v>104</v>
      </c>
      <c r="Z28" s="186" t="s">
        <v>104</v>
      </c>
      <c r="AA28" s="186" t="s">
        <v>104</v>
      </c>
      <c r="AB28" s="186" t="s">
        <v>104</v>
      </c>
      <c r="AC28" s="186" t="s">
        <v>104</v>
      </c>
      <c r="AD28" s="186" t="s">
        <v>104</v>
      </c>
      <c r="AE28" s="186" t="s">
        <v>104</v>
      </c>
      <c r="AF28" s="186" t="s">
        <v>104</v>
      </c>
      <c r="AG28" s="186" t="s">
        <v>104</v>
      </c>
      <c r="AI28" s="243" t="s">
        <v>409</v>
      </c>
      <c r="AK28" s="243" t="s">
        <v>409</v>
      </c>
      <c r="AL28" s="1180" t="s">
        <v>104</v>
      </c>
      <c r="AM28" s="261" t="s">
        <v>1920</v>
      </c>
      <c r="AN28" s="261" t="s">
        <v>104</v>
      </c>
      <c r="AO28" s="1250" t="s">
        <v>104</v>
      </c>
      <c r="AP28" s="261" t="s">
        <v>104</v>
      </c>
      <c r="AQ28" s="261" t="s">
        <v>104</v>
      </c>
      <c r="AR28" s="1180" t="s">
        <v>104</v>
      </c>
      <c r="AS28" s="261" t="s">
        <v>104</v>
      </c>
      <c r="AT28" s="261" t="s">
        <v>104</v>
      </c>
      <c r="AU28" s="261" t="s">
        <v>104</v>
      </c>
      <c r="AV28" s="261" t="s">
        <v>104</v>
      </c>
      <c r="AW28" s="261" t="s">
        <v>104</v>
      </c>
      <c r="AY28" s="243" t="s">
        <v>409</v>
      </c>
      <c r="BA28" s="243" t="s">
        <v>409</v>
      </c>
      <c r="BB28" s="261" t="s">
        <v>104</v>
      </c>
      <c r="BC28" s="261" t="s">
        <v>1920</v>
      </c>
      <c r="BD28" s="261" t="s">
        <v>104</v>
      </c>
      <c r="BE28" s="260" t="s">
        <v>104</v>
      </c>
      <c r="BF28" s="261" t="s">
        <v>104</v>
      </c>
      <c r="BG28" s="261" t="s">
        <v>104</v>
      </c>
      <c r="BH28" s="261" t="s">
        <v>104</v>
      </c>
      <c r="BI28" s="1180" t="s">
        <v>104</v>
      </c>
      <c r="BK28" s="243" t="s">
        <v>409</v>
      </c>
    </row>
    <row r="29" spans="1:63" ht="24" customHeight="1">
      <c r="A29" s="2100" t="s">
        <v>425</v>
      </c>
      <c r="B29" s="2100"/>
      <c r="C29" s="608"/>
      <c r="D29" s="608"/>
      <c r="E29" s="608"/>
      <c r="F29" s="608"/>
      <c r="G29" s="608"/>
      <c r="H29" s="608"/>
      <c r="I29" s="608"/>
      <c r="J29" s="610"/>
      <c r="K29" s="608"/>
      <c r="L29" s="608"/>
      <c r="M29" s="608"/>
      <c r="N29" s="608"/>
      <c r="O29" s="608"/>
      <c r="P29" s="611"/>
      <c r="Q29" s="611"/>
      <c r="R29" s="2100" t="s">
        <v>425</v>
      </c>
      <c r="S29" s="2100"/>
      <c r="T29" s="2100" t="s">
        <v>425</v>
      </c>
      <c r="U29" s="2100"/>
      <c r="V29" s="610"/>
      <c r="W29" s="610"/>
      <c r="X29" s="610"/>
      <c r="Y29" s="610"/>
      <c r="Z29" s="610"/>
      <c r="AA29" s="610"/>
      <c r="AB29" s="610"/>
      <c r="AC29" s="610"/>
      <c r="AD29" s="610"/>
      <c r="AE29" s="610"/>
      <c r="AF29" s="610"/>
      <c r="AG29" s="610"/>
      <c r="AH29" s="2100" t="s">
        <v>425</v>
      </c>
      <c r="AI29" s="2100"/>
      <c r="AJ29" s="2100" t="s">
        <v>425</v>
      </c>
      <c r="AK29" s="2100"/>
      <c r="AL29" s="611"/>
      <c r="AM29" s="611"/>
      <c r="AN29" s="608"/>
      <c r="AO29" s="619"/>
      <c r="AP29" s="608"/>
      <c r="AQ29" s="608"/>
      <c r="AR29" s="608"/>
      <c r="AS29" s="608"/>
      <c r="AT29" s="608"/>
      <c r="AU29" s="608"/>
      <c r="AV29" s="608"/>
      <c r="AW29" s="608"/>
      <c r="AX29" s="2100" t="s">
        <v>425</v>
      </c>
      <c r="AY29" s="2100"/>
      <c r="AZ29" s="2100" t="s">
        <v>425</v>
      </c>
      <c r="BA29" s="2100"/>
      <c r="BB29" s="608"/>
      <c r="BC29" s="608"/>
      <c r="BD29" s="608"/>
      <c r="BE29" s="611"/>
      <c r="BF29" s="608"/>
      <c r="BG29" s="608"/>
      <c r="BH29" s="608"/>
      <c r="BI29" s="608"/>
      <c r="BJ29" s="2100" t="s">
        <v>425</v>
      </c>
      <c r="BK29" s="2100"/>
    </row>
    <row r="30" spans="1:63" s="76" customFormat="1" ht="27" customHeight="1">
      <c r="A30" s="244" t="s">
        <v>875</v>
      </c>
      <c r="B30" s="1414" t="s">
        <v>1278</v>
      </c>
      <c r="C30" s="186"/>
      <c r="D30" s="186"/>
      <c r="E30" s="186"/>
      <c r="F30" s="186"/>
      <c r="G30" s="186"/>
      <c r="H30" s="186"/>
      <c r="I30" s="186"/>
      <c r="J30" s="186"/>
      <c r="K30" s="187"/>
      <c r="L30" s="186"/>
      <c r="M30" s="186"/>
      <c r="N30" s="186"/>
      <c r="O30" s="396"/>
      <c r="P30" s="104"/>
      <c r="Q30" s="104"/>
      <c r="R30" s="244" t="s">
        <v>875</v>
      </c>
      <c r="S30" s="395" t="s">
        <v>1278</v>
      </c>
      <c r="T30" s="244" t="s">
        <v>875</v>
      </c>
      <c r="U30" s="395" t="s">
        <v>1278</v>
      </c>
      <c r="V30" s="186"/>
      <c r="W30" s="186"/>
      <c r="X30" s="186"/>
      <c r="Y30" s="186"/>
      <c r="Z30" s="186"/>
      <c r="AA30" s="186"/>
      <c r="AB30" s="186"/>
      <c r="AC30" s="186"/>
      <c r="AD30" s="186"/>
      <c r="AE30" s="186"/>
      <c r="AF30" s="186"/>
      <c r="AG30" s="186"/>
      <c r="AH30" s="244" t="s">
        <v>875</v>
      </c>
      <c r="AI30" s="395" t="s">
        <v>1278</v>
      </c>
      <c r="AJ30" s="244" t="s">
        <v>875</v>
      </c>
      <c r="AK30" s="395" t="s">
        <v>1278</v>
      </c>
      <c r="AL30" s="104"/>
      <c r="AM30" s="104"/>
      <c r="AN30" s="186"/>
      <c r="AO30" s="186"/>
      <c r="AP30" s="186"/>
      <c r="AQ30" s="186"/>
      <c r="AR30" s="186"/>
      <c r="AS30" s="186"/>
      <c r="AT30" s="186"/>
      <c r="AU30" s="186"/>
      <c r="AV30" s="186"/>
      <c r="AW30" s="186"/>
      <c r="AX30" s="244" t="s">
        <v>875</v>
      </c>
      <c r="AY30" s="395" t="s">
        <v>1278</v>
      </c>
      <c r="AZ30" s="244" t="s">
        <v>875</v>
      </c>
      <c r="BA30" s="395" t="s">
        <v>1278</v>
      </c>
      <c r="BB30" s="186"/>
      <c r="BC30" s="186"/>
      <c r="BD30" s="186"/>
      <c r="BE30" s="104"/>
      <c r="BF30" s="186"/>
      <c r="BG30" s="186"/>
      <c r="BH30" s="186"/>
      <c r="BI30" s="186"/>
      <c r="BJ30" s="244" t="s">
        <v>875</v>
      </c>
      <c r="BK30" s="395" t="s">
        <v>1278</v>
      </c>
    </row>
    <row r="31" spans="1:63" ht="11.1" customHeight="1">
      <c r="A31" s="620"/>
      <c r="B31" s="582" t="s">
        <v>419</v>
      </c>
      <c r="C31" s="610">
        <v>13</v>
      </c>
      <c r="D31" s="1413">
        <v>13</v>
      </c>
      <c r="E31" s="610">
        <v>13</v>
      </c>
      <c r="F31" s="608">
        <v>14</v>
      </c>
      <c r="G31" s="1413" t="s">
        <v>2749</v>
      </c>
      <c r="H31" s="608">
        <v>13</v>
      </c>
      <c r="I31" s="608" t="s">
        <v>104</v>
      </c>
      <c r="J31" s="1413" t="s">
        <v>1735</v>
      </c>
      <c r="K31" s="608">
        <v>10.5</v>
      </c>
      <c r="L31" s="608" t="s">
        <v>2725</v>
      </c>
      <c r="M31" s="610" t="s">
        <v>2745</v>
      </c>
      <c r="N31" s="1413" t="s">
        <v>1630</v>
      </c>
      <c r="O31" s="608" t="s">
        <v>1630</v>
      </c>
      <c r="P31" s="610" t="s">
        <v>1946</v>
      </c>
      <c r="Q31" s="610">
        <v>13</v>
      </c>
      <c r="R31" s="620"/>
      <c r="S31" s="582" t="s">
        <v>419</v>
      </c>
      <c r="T31" s="620"/>
      <c r="U31" s="582" t="s">
        <v>419</v>
      </c>
      <c r="V31" s="610" t="s">
        <v>2725</v>
      </c>
      <c r="W31" s="610" t="s">
        <v>2745</v>
      </c>
      <c r="X31" s="610" t="s">
        <v>2725</v>
      </c>
      <c r="Y31" s="610" t="s">
        <v>2746</v>
      </c>
      <c r="Z31" s="610">
        <v>14</v>
      </c>
      <c r="AA31" s="610" t="s">
        <v>2725</v>
      </c>
      <c r="AB31" s="610" t="s">
        <v>2342</v>
      </c>
      <c r="AC31" s="610">
        <v>11.5</v>
      </c>
      <c r="AD31" s="610" t="s">
        <v>1947</v>
      </c>
      <c r="AE31" s="610" t="s">
        <v>1946</v>
      </c>
      <c r="AF31" s="610" t="s">
        <v>2755</v>
      </c>
      <c r="AG31" s="610" t="s">
        <v>1947</v>
      </c>
      <c r="AH31" s="620"/>
      <c r="AI31" s="582" t="s">
        <v>419</v>
      </c>
      <c r="AJ31" s="620"/>
      <c r="AK31" s="582" t="s">
        <v>419</v>
      </c>
      <c r="AL31" s="608" t="s">
        <v>1947</v>
      </c>
      <c r="AM31" s="621" t="s">
        <v>1630</v>
      </c>
      <c r="AN31" s="608" t="s">
        <v>2330</v>
      </c>
      <c r="AO31" s="610" t="s">
        <v>2342</v>
      </c>
      <c r="AP31" s="608">
        <v>12.5</v>
      </c>
      <c r="AQ31" s="608" t="s">
        <v>1946</v>
      </c>
      <c r="AR31" s="608" t="s">
        <v>2745</v>
      </c>
      <c r="AS31" s="608" t="s">
        <v>1630</v>
      </c>
      <c r="AT31" s="608" t="s">
        <v>2746</v>
      </c>
      <c r="AU31" s="608" t="s">
        <v>2745</v>
      </c>
      <c r="AV31" s="608" t="s">
        <v>2342</v>
      </c>
      <c r="AW31" s="608">
        <v>13</v>
      </c>
      <c r="AX31" s="620"/>
      <c r="AY31" s="582" t="s">
        <v>419</v>
      </c>
      <c r="AZ31" s="620"/>
      <c r="BA31" s="582" t="s">
        <v>419</v>
      </c>
      <c r="BB31" s="608" t="s">
        <v>2330</v>
      </c>
      <c r="BC31" s="608" t="s">
        <v>2783</v>
      </c>
      <c r="BD31" s="608" t="s">
        <v>2342</v>
      </c>
      <c r="BE31" s="608" t="s">
        <v>2756</v>
      </c>
      <c r="BF31" s="608" t="s">
        <v>2763</v>
      </c>
      <c r="BG31" s="608" t="s">
        <v>2726</v>
      </c>
      <c r="BH31" s="608" t="s">
        <v>2342</v>
      </c>
      <c r="BI31" s="608" t="s">
        <v>2765</v>
      </c>
      <c r="BJ31" s="620"/>
      <c r="BK31" s="582" t="s">
        <v>419</v>
      </c>
    </row>
    <row r="32" spans="1:63" ht="11.1" customHeight="1">
      <c r="A32" s="244"/>
      <c r="B32" s="243" t="s">
        <v>420</v>
      </c>
      <c r="C32" s="261" t="s">
        <v>104</v>
      </c>
      <c r="D32" s="1180" t="s">
        <v>104</v>
      </c>
      <c r="E32" s="261" t="s">
        <v>104</v>
      </c>
      <c r="F32" s="261" t="s">
        <v>104</v>
      </c>
      <c r="G32" s="261" t="s">
        <v>104</v>
      </c>
      <c r="H32" s="261" t="s">
        <v>104</v>
      </c>
      <c r="I32" s="261">
        <v>13</v>
      </c>
      <c r="J32" s="186" t="s">
        <v>104</v>
      </c>
      <c r="K32" s="261" t="s">
        <v>104</v>
      </c>
      <c r="L32" s="261"/>
      <c r="M32" s="261" t="s">
        <v>104</v>
      </c>
      <c r="N32" s="161" t="s">
        <v>1630</v>
      </c>
      <c r="O32" s="261" t="s">
        <v>104</v>
      </c>
      <c r="P32" s="260" t="s">
        <v>104</v>
      </c>
      <c r="Q32" s="260" t="s">
        <v>104</v>
      </c>
      <c r="R32" s="244"/>
      <c r="S32" s="243" t="s">
        <v>420</v>
      </c>
      <c r="T32" s="244"/>
      <c r="U32" s="243" t="s">
        <v>420</v>
      </c>
      <c r="V32" s="186" t="s">
        <v>104</v>
      </c>
      <c r="W32" s="186" t="s">
        <v>104</v>
      </c>
      <c r="X32" s="186" t="s">
        <v>104</v>
      </c>
      <c r="Y32" s="186" t="s">
        <v>104</v>
      </c>
      <c r="Z32" s="186" t="s">
        <v>104</v>
      </c>
      <c r="AA32" s="186" t="s">
        <v>104</v>
      </c>
      <c r="AB32" s="186" t="s">
        <v>2342</v>
      </c>
      <c r="AC32" s="186" t="s">
        <v>104</v>
      </c>
      <c r="AD32" s="186" t="s">
        <v>104</v>
      </c>
      <c r="AE32" s="1250" t="s">
        <v>104</v>
      </c>
      <c r="AF32" s="186" t="s">
        <v>104</v>
      </c>
      <c r="AG32" s="186" t="s">
        <v>104</v>
      </c>
      <c r="AH32" s="244"/>
      <c r="AI32" s="243" t="s">
        <v>420</v>
      </c>
      <c r="AJ32" s="244"/>
      <c r="AK32" s="243" t="s">
        <v>420</v>
      </c>
      <c r="AL32" s="1180" t="s">
        <v>104</v>
      </c>
      <c r="AM32" s="261" t="s">
        <v>104</v>
      </c>
      <c r="AN32" s="260" t="s">
        <v>104</v>
      </c>
      <c r="AO32" s="1250" t="s">
        <v>104</v>
      </c>
      <c r="AP32" s="261" t="s">
        <v>104</v>
      </c>
      <c r="AQ32" s="261" t="s">
        <v>104</v>
      </c>
      <c r="AR32" s="261" t="s">
        <v>104</v>
      </c>
      <c r="AS32" s="261" t="s">
        <v>104</v>
      </c>
      <c r="AT32" s="261" t="s">
        <v>104</v>
      </c>
      <c r="AU32" s="261" t="s">
        <v>104</v>
      </c>
      <c r="AV32" s="261" t="s">
        <v>104</v>
      </c>
      <c r="AW32" s="261" t="s">
        <v>104</v>
      </c>
      <c r="AX32" s="244"/>
      <c r="AY32" s="243" t="s">
        <v>420</v>
      </c>
      <c r="AZ32" s="244"/>
      <c r="BA32" s="243" t="s">
        <v>420</v>
      </c>
      <c r="BB32" s="261" t="s">
        <v>104</v>
      </c>
      <c r="BC32" s="261" t="s">
        <v>2783</v>
      </c>
      <c r="BD32" s="261" t="s">
        <v>104</v>
      </c>
      <c r="BE32" s="260" t="s">
        <v>104</v>
      </c>
      <c r="BF32" s="261" t="s">
        <v>104</v>
      </c>
      <c r="BG32" s="261" t="s">
        <v>2726</v>
      </c>
      <c r="BH32" s="261" t="s">
        <v>104</v>
      </c>
      <c r="BI32" s="1180" t="s">
        <v>104</v>
      </c>
      <c r="BJ32" s="244"/>
      <c r="BK32" s="243" t="s">
        <v>420</v>
      </c>
    </row>
    <row r="33" spans="1:63" ht="24" customHeight="1">
      <c r="A33" s="620" t="s">
        <v>1120</v>
      </c>
      <c r="B33" s="583" t="s">
        <v>1279</v>
      </c>
      <c r="C33" s="608"/>
      <c r="D33" s="608"/>
      <c r="E33" s="608"/>
      <c r="F33" s="608"/>
      <c r="G33" s="608"/>
      <c r="H33" s="608"/>
      <c r="I33" s="608"/>
      <c r="J33" s="610"/>
      <c r="K33" s="608"/>
      <c r="L33" s="608"/>
      <c r="M33" s="608"/>
      <c r="N33" s="608"/>
      <c r="O33" s="608"/>
      <c r="P33" s="611"/>
      <c r="Q33" s="611"/>
      <c r="R33" s="620" t="s">
        <v>1120</v>
      </c>
      <c r="S33" s="583" t="s">
        <v>1279</v>
      </c>
      <c r="T33" s="620" t="s">
        <v>1120</v>
      </c>
      <c r="U33" s="583" t="s">
        <v>1279</v>
      </c>
      <c r="V33" s="610"/>
      <c r="W33" s="610"/>
      <c r="X33" s="610"/>
      <c r="Y33" s="610"/>
      <c r="Z33" s="610"/>
      <c r="AA33" s="610"/>
      <c r="AB33" s="610"/>
      <c r="AC33" s="610"/>
      <c r="AD33" s="610"/>
      <c r="AE33" s="610"/>
      <c r="AF33" s="610"/>
      <c r="AG33" s="610"/>
      <c r="AH33" s="620" t="s">
        <v>1120</v>
      </c>
      <c r="AI33" s="583" t="s">
        <v>1279</v>
      </c>
      <c r="AJ33" s="620" t="s">
        <v>1120</v>
      </c>
      <c r="AK33" s="583" t="s">
        <v>1279</v>
      </c>
      <c r="AL33" s="608"/>
      <c r="AM33" s="608"/>
      <c r="AN33" s="611"/>
      <c r="AO33" s="608"/>
      <c r="AP33" s="608"/>
      <c r="AQ33" s="608"/>
      <c r="AR33" s="608"/>
      <c r="AS33" s="608"/>
      <c r="AT33" s="608"/>
      <c r="AU33" s="608"/>
      <c r="AV33" s="608"/>
      <c r="AW33" s="608"/>
      <c r="AX33" s="620" t="s">
        <v>1120</v>
      </c>
      <c r="AY33" s="583" t="s">
        <v>1279</v>
      </c>
      <c r="AZ33" s="620" t="s">
        <v>1120</v>
      </c>
      <c r="BA33" s="583" t="s">
        <v>1279</v>
      </c>
      <c r="BB33" s="608"/>
      <c r="BC33" s="608"/>
      <c r="BD33" s="608"/>
      <c r="BE33" s="611"/>
      <c r="BF33" s="608"/>
      <c r="BG33" s="608"/>
      <c r="BH33" s="608"/>
      <c r="BI33" s="608"/>
      <c r="BJ33" s="620" t="s">
        <v>1120</v>
      </c>
      <c r="BK33" s="583" t="s">
        <v>1279</v>
      </c>
    </row>
    <row r="34" spans="1:63" ht="11.1" customHeight="1">
      <c r="B34" s="243" t="s">
        <v>419</v>
      </c>
      <c r="C34" s="396">
        <v>13</v>
      </c>
      <c r="D34" s="161">
        <v>13</v>
      </c>
      <c r="E34" s="186">
        <v>13</v>
      </c>
      <c r="F34" s="261">
        <v>14</v>
      </c>
      <c r="G34" s="161" t="s">
        <v>2750</v>
      </c>
      <c r="H34" s="261">
        <v>13</v>
      </c>
      <c r="I34" s="261" t="s">
        <v>104</v>
      </c>
      <c r="J34" s="161" t="s">
        <v>1735</v>
      </c>
      <c r="K34" s="186" t="s">
        <v>2922</v>
      </c>
      <c r="L34" s="186" t="s">
        <v>1630</v>
      </c>
      <c r="M34" s="186" t="s">
        <v>2746</v>
      </c>
      <c r="N34" s="161" t="s">
        <v>2747</v>
      </c>
      <c r="O34" s="261" t="s">
        <v>1630</v>
      </c>
      <c r="P34" s="186" t="s">
        <v>1946</v>
      </c>
      <c r="Q34" s="186">
        <v>13</v>
      </c>
      <c r="S34" s="243" t="s">
        <v>419</v>
      </c>
      <c r="U34" s="243" t="s">
        <v>419</v>
      </c>
      <c r="V34" s="186" t="s">
        <v>2745</v>
      </c>
      <c r="W34" s="186" t="s">
        <v>1947</v>
      </c>
      <c r="X34" s="186" t="s">
        <v>1946</v>
      </c>
      <c r="Y34" s="186" t="s">
        <v>2747</v>
      </c>
      <c r="Z34" s="396">
        <v>14</v>
      </c>
      <c r="AA34" s="186" t="s">
        <v>1946</v>
      </c>
      <c r="AB34" s="186" t="s">
        <v>2745</v>
      </c>
      <c r="AC34" s="186" t="s">
        <v>2756</v>
      </c>
      <c r="AD34" s="186" t="s">
        <v>1948</v>
      </c>
      <c r="AE34" s="186" t="s">
        <v>1947</v>
      </c>
      <c r="AF34" s="186" t="s">
        <v>2755</v>
      </c>
      <c r="AG34" s="186" t="s">
        <v>1947</v>
      </c>
      <c r="AI34" s="243" t="s">
        <v>419</v>
      </c>
      <c r="AK34" s="243" t="s">
        <v>419</v>
      </c>
      <c r="AL34" s="261" t="s">
        <v>1947</v>
      </c>
      <c r="AM34" s="261" t="s">
        <v>1920</v>
      </c>
      <c r="AN34" s="261" t="s">
        <v>2330</v>
      </c>
      <c r="AO34" s="186" t="s">
        <v>2720</v>
      </c>
      <c r="AP34" s="261">
        <v>12.5</v>
      </c>
      <c r="AQ34" s="261" t="s">
        <v>1947</v>
      </c>
      <c r="AR34" s="261" t="s">
        <v>1946</v>
      </c>
      <c r="AS34" s="261" t="s">
        <v>1947</v>
      </c>
      <c r="AT34" s="261" t="s">
        <v>2754</v>
      </c>
      <c r="AU34" s="261" t="s">
        <v>2747</v>
      </c>
      <c r="AV34" s="1180" t="s">
        <v>2342</v>
      </c>
      <c r="AW34" s="261" t="s">
        <v>2754</v>
      </c>
      <c r="AY34" s="243" t="s">
        <v>419</v>
      </c>
      <c r="BA34" s="243" t="s">
        <v>419</v>
      </c>
      <c r="BB34" s="261" t="s">
        <v>1946</v>
      </c>
      <c r="BC34" s="261" t="s">
        <v>1630</v>
      </c>
      <c r="BD34" s="261" t="s">
        <v>2746</v>
      </c>
      <c r="BE34" s="261" t="s">
        <v>2766</v>
      </c>
      <c r="BF34" s="261" t="s">
        <v>2763</v>
      </c>
      <c r="BG34" s="261" t="s">
        <v>104</v>
      </c>
      <c r="BH34" s="261" t="s">
        <v>1946</v>
      </c>
      <c r="BI34" s="261" t="s">
        <v>1946</v>
      </c>
      <c r="BK34" s="243" t="s">
        <v>419</v>
      </c>
    </row>
    <row r="35" spans="1:63" ht="11.1" customHeight="1">
      <c r="A35" s="549"/>
      <c r="B35" s="582" t="s">
        <v>420</v>
      </c>
      <c r="C35" s="608" t="s">
        <v>104</v>
      </c>
      <c r="D35" s="1181" t="s">
        <v>104</v>
      </c>
      <c r="E35" s="608" t="s">
        <v>104</v>
      </c>
      <c r="F35" s="608" t="s">
        <v>104</v>
      </c>
      <c r="G35" s="608" t="s">
        <v>104</v>
      </c>
      <c r="H35" s="608" t="s">
        <v>104</v>
      </c>
      <c r="I35" s="608">
        <v>13</v>
      </c>
      <c r="J35" s="610" t="s">
        <v>104</v>
      </c>
      <c r="K35" s="608" t="s">
        <v>104</v>
      </c>
      <c r="L35" s="608" t="s">
        <v>104</v>
      </c>
      <c r="M35" s="608" t="s">
        <v>104</v>
      </c>
      <c r="N35" s="608" t="s">
        <v>104</v>
      </c>
      <c r="O35" s="608" t="s">
        <v>104</v>
      </c>
      <c r="P35" s="608" t="s">
        <v>104</v>
      </c>
      <c r="Q35" s="608" t="s">
        <v>104</v>
      </c>
      <c r="R35" s="549"/>
      <c r="S35" s="582" t="s">
        <v>420</v>
      </c>
      <c r="T35" s="549"/>
      <c r="U35" s="582" t="s">
        <v>420</v>
      </c>
      <c r="V35" s="610" t="s">
        <v>104</v>
      </c>
      <c r="W35" s="610" t="s">
        <v>104</v>
      </c>
      <c r="X35" s="610" t="s">
        <v>104</v>
      </c>
      <c r="Y35" s="610" t="s">
        <v>104</v>
      </c>
      <c r="Z35" s="610" t="s">
        <v>104</v>
      </c>
      <c r="AA35" s="610" t="s">
        <v>104</v>
      </c>
      <c r="AB35" s="610" t="s">
        <v>104</v>
      </c>
      <c r="AC35" s="610" t="s">
        <v>104</v>
      </c>
      <c r="AD35" s="610" t="s">
        <v>104</v>
      </c>
      <c r="AE35" s="610" t="s">
        <v>104</v>
      </c>
      <c r="AF35" s="610" t="s">
        <v>104</v>
      </c>
      <c r="AG35" s="610" t="s">
        <v>104</v>
      </c>
      <c r="AH35" s="549"/>
      <c r="AI35" s="582" t="s">
        <v>420</v>
      </c>
      <c r="AJ35" s="549"/>
      <c r="AK35" s="582" t="s">
        <v>420</v>
      </c>
      <c r="AL35" s="1181" t="s">
        <v>104</v>
      </c>
      <c r="AM35" s="608" t="s">
        <v>104</v>
      </c>
      <c r="AN35" s="608" t="s">
        <v>104</v>
      </c>
      <c r="AO35" s="1251" t="s">
        <v>104</v>
      </c>
      <c r="AP35" s="608" t="s">
        <v>104</v>
      </c>
      <c r="AQ35" s="608" t="s">
        <v>104</v>
      </c>
      <c r="AR35" s="608" t="s">
        <v>104</v>
      </c>
      <c r="AS35" s="608" t="s">
        <v>104</v>
      </c>
      <c r="AT35" s="608" t="s">
        <v>104</v>
      </c>
      <c r="AU35" s="608" t="s">
        <v>104</v>
      </c>
      <c r="AV35" s="608" t="s">
        <v>104</v>
      </c>
      <c r="AW35" s="608" t="s">
        <v>104</v>
      </c>
      <c r="AX35" s="549"/>
      <c r="AY35" s="582" t="s">
        <v>420</v>
      </c>
      <c r="AZ35" s="549"/>
      <c r="BA35" s="582" t="s">
        <v>420</v>
      </c>
      <c r="BB35" s="608" t="s">
        <v>104</v>
      </c>
      <c r="BC35" s="608" t="s">
        <v>1630</v>
      </c>
      <c r="BD35" s="608" t="s">
        <v>104</v>
      </c>
      <c r="BE35" s="608" t="s">
        <v>104</v>
      </c>
      <c r="BF35" s="608" t="s">
        <v>104</v>
      </c>
      <c r="BG35" s="608" t="s">
        <v>104</v>
      </c>
      <c r="BH35" s="608" t="s">
        <v>104</v>
      </c>
      <c r="BI35" s="1181" t="s">
        <v>104</v>
      </c>
      <c r="BJ35" s="549"/>
      <c r="BK35" s="582" t="s">
        <v>420</v>
      </c>
    </row>
    <row r="36" spans="1:63" ht="11.25" customHeight="1">
      <c r="A36" s="2101" t="s">
        <v>236</v>
      </c>
      <c r="B36" s="2101"/>
      <c r="C36" s="261">
        <v>7</v>
      </c>
      <c r="D36" s="261">
        <v>7</v>
      </c>
      <c r="E36" s="261">
        <v>7</v>
      </c>
      <c r="F36" s="261">
        <v>7</v>
      </c>
      <c r="G36" s="261">
        <v>7</v>
      </c>
      <c r="H36" s="261">
        <v>7</v>
      </c>
      <c r="I36" s="261">
        <v>7</v>
      </c>
      <c r="J36" s="186">
        <v>7</v>
      </c>
      <c r="K36" s="261">
        <v>7</v>
      </c>
      <c r="L36" s="261">
        <v>7</v>
      </c>
      <c r="M36" s="261">
        <v>7</v>
      </c>
      <c r="N36" s="261">
        <v>7</v>
      </c>
      <c r="O36" s="261">
        <v>7</v>
      </c>
      <c r="P36" s="261">
        <v>7</v>
      </c>
      <c r="Q36" s="261">
        <v>7</v>
      </c>
      <c r="R36" s="2101" t="s">
        <v>236</v>
      </c>
      <c r="S36" s="2101"/>
      <c r="T36" s="2101" t="s">
        <v>236</v>
      </c>
      <c r="U36" s="2101"/>
      <c r="V36" s="186">
        <v>7</v>
      </c>
      <c r="W36" s="186">
        <v>7</v>
      </c>
      <c r="X36" s="186">
        <v>7</v>
      </c>
      <c r="Y36" s="186">
        <v>7</v>
      </c>
      <c r="Z36" s="186">
        <v>7</v>
      </c>
      <c r="AA36" s="186">
        <v>7</v>
      </c>
      <c r="AB36" s="186">
        <v>7</v>
      </c>
      <c r="AC36" s="186">
        <v>7</v>
      </c>
      <c r="AD36" s="186" t="s">
        <v>104</v>
      </c>
      <c r="AE36" s="186">
        <v>7</v>
      </c>
      <c r="AF36" s="186">
        <v>7</v>
      </c>
      <c r="AG36" s="186">
        <v>7</v>
      </c>
      <c r="AH36" s="2101" t="s">
        <v>236</v>
      </c>
      <c r="AI36" s="2101"/>
      <c r="AJ36" s="2101" t="s">
        <v>236</v>
      </c>
      <c r="AK36" s="2101"/>
      <c r="AL36" s="261">
        <v>7</v>
      </c>
      <c r="AM36" s="261">
        <v>7</v>
      </c>
      <c r="AN36" s="261">
        <v>7</v>
      </c>
      <c r="AO36" s="261">
        <v>7</v>
      </c>
      <c r="AP36" s="261">
        <v>7</v>
      </c>
      <c r="AQ36" s="261">
        <v>7</v>
      </c>
      <c r="AR36" s="261">
        <v>7</v>
      </c>
      <c r="AS36" s="261">
        <v>7</v>
      </c>
      <c r="AT36" s="261">
        <v>7</v>
      </c>
      <c r="AU36" s="261">
        <v>7</v>
      </c>
      <c r="AV36" s="261">
        <v>7</v>
      </c>
      <c r="AW36" s="261">
        <v>7</v>
      </c>
      <c r="AX36" s="2101" t="s">
        <v>236</v>
      </c>
      <c r="AY36" s="2101"/>
      <c r="AZ36" s="2101" t="s">
        <v>236</v>
      </c>
      <c r="BA36" s="2101"/>
      <c r="BB36" s="261">
        <v>7</v>
      </c>
      <c r="BC36" s="261">
        <v>7</v>
      </c>
      <c r="BD36" s="261">
        <v>7</v>
      </c>
      <c r="BE36" s="261" t="s">
        <v>2341</v>
      </c>
      <c r="BF36" s="261">
        <v>6.75</v>
      </c>
      <c r="BG36" s="261" t="s">
        <v>104</v>
      </c>
      <c r="BH36" s="261" t="s">
        <v>104</v>
      </c>
      <c r="BI36" s="261" t="s">
        <v>104</v>
      </c>
      <c r="BJ36" s="2101" t="s">
        <v>236</v>
      </c>
      <c r="BK36" s="2101"/>
    </row>
    <row r="37" spans="1:63" ht="12.75" customHeight="1">
      <c r="A37" s="2100" t="s">
        <v>426</v>
      </c>
      <c r="B37" s="2100"/>
      <c r="C37" s="608"/>
      <c r="D37" s="608"/>
      <c r="E37" s="608"/>
      <c r="F37" s="608"/>
      <c r="G37" s="608"/>
      <c r="H37" s="608"/>
      <c r="I37" s="608"/>
      <c r="J37" s="610"/>
      <c r="K37" s="608"/>
      <c r="L37" s="608"/>
      <c r="M37" s="608"/>
      <c r="N37" s="608"/>
      <c r="O37" s="608"/>
      <c r="P37" s="611"/>
      <c r="Q37" s="611"/>
      <c r="R37" s="2100" t="s">
        <v>426</v>
      </c>
      <c r="S37" s="2100"/>
      <c r="T37" s="2100" t="s">
        <v>426</v>
      </c>
      <c r="U37" s="2100"/>
      <c r="V37" s="610"/>
      <c r="W37" s="610"/>
      <c r="X37" s="610"/>
      <c r="Y37" s="610"/>
      <c r="Z37" s="610"/>
      <c r="AA37" s="609"/>
      <c r="AB37" s="609"/>
      <c r="AC37" s="609"/>
      <c r="AD37" s="609"/>
      <c r="AE37" s="609"/>
      <c r="AF37" s="609"/>
      <c r="AG37" s="610"/>
      <c r="AH37" s="2100" t="s">
        <v>426</v>
      </c>
      <c r="AI37" s="2100"/>
      <c r="AJ37" s="2100" t="s">
        <v>426</v>
      </c>
      <c r="AK37" s="2100"/>
      <c r="AL37" s="611"/>
      <c r="AM37" s="611"/>
      <c r="AN37" s="611"/>
      <c r="AO37" s="611"/>
      <c r="AP37" s="608"/>
      <c r="AQ37" s="608"/>
      <c r="AR37" s="608"/>
      <c r="AS37" s="608"/>
      <c r="AT37" s="608"/>
      <c r="AU37" s="608"/>
      <c r="AV37" s="608"/>
      <c r="AW37" s="608"/>
      <c r="AX37" s="2100" t="s">
        <v>426</v>
      </c>
      <c r="AY37" s="2100"/>
      <c r="AZ37" s="2100" t="s">
        <v>426</v>
      </c>
      <c r="BA37" s="2100"/>
      <c r="BB37" s="608"/>
      <c r="BC37" s="608"/>
      <c r="BD37" s="608"/>
      <c r="BE37" s="611"/>
      <c r="BF37" s="608"/>
      <c r="BG37" s="608"/>
      <c r="BH37" s="608"/>
      <c r="BI37" s="608"/>
      <c r="BJ37" s="2100" t="s">
        <v>426</v>
      </c>
      <c r="BK37" s="2100"/>
    </row>
    <row r="38" spans="1:63" ht="11.1" customHeight="1">
      <c r="B38" s="243" t="s">
        <v>408</v>
      </c>
      <c r="C38" s="161" t="s">
        <v>2751</v>
      </c>
      <c r="D38" s="261">
        <v>13</v>
      </c>
      <c r="E38" s="186">
        <v>13</v>
      </c>
      <c r="F38" s="261">
        <v>14</v>
      </c>
      <c r="G38" s="161" t="s">
        <v>2752</v>
      </c>
      <c r="H38" s="161">
        <v>14</v>
      </c>
      <c r="I38" s="261">
        <v>13</v>
      </c>
      <c r="J38" s="186">
        <v>14</v>
      </c>
      <c r="K38" s="261">
        <v>12</v>
      </c>
      <c r="L38" s="261" t="s">
        <v>2342</v>
      </c>
      <c r="M38" s="186" t="s">
        <v>1630</v>
      </c>
      <c r="N38" s="161" t="s">
        <v>1947</v>
      </c>
      <c r="O38" s="261" t="s">
        <v>1630</v>
      </c>
      <c r="P38" s="186" t="s">
        <v>2747</v>
      </c>
      <c r="Q38" s="186">
        <v>13</v>
      </c>
      <c r="S38" s="243" t="s">
        <v>408</v>
      </c>
      <c r="U38" s="243" t="s">
        <v>408</v>
      </c>
      <c r="V38" s="186" t="s">
        <v>2342</v>
      </c>
      <c r="W38" s="186" t="s">
        <v>2786</v>
      </c>
      <c r="X38" s="186" t="s">
        <v>2746</v>
      </c>
      <c r="Y38" s="186" t="s">
        <v>104</v>
      </c>
      <c r="Z38" s="186">
        <v>15</v>
      </c>
      <c r="AA38" s="186" t="s">
        <v>1630</v>
      </c>
      <c r="AB38" s="186" t="s">
        <v>2746</v>
      </c>
      <c r="AC38" s="186" t="s">
        <v>2747</v>
      </c>
      <c r="AD38" s="186" t="s">
        <v>1920</v>
      </c>
      <c r="AE38" s="186" t="s">
        <v>1947</v>
      </c>
      <c r="AF38" s="186" t="s">
        <v>2755</v>
      </c>
      <c r="AG38" s="186" t="s">
        <v>2754</v>
      </c>
      <c r="AI38" s="243" t="s">
        <v>408</v>
      </c>
      <c r="AK38" s="243" t="s">
        <v>408</v>
      </c>
      <c r="AL38" s="261" t="s">
        <v>1947</v>
      </c>
      <c r="AM38" s="261" t="s">
        <v>1947</v>
      </c>
      <c r="AN38" s="261" t="s">
        <v>2747</v>
      </c>
      <c r="AO38" s="186" t="s">
        <v>2342</v>
      </c>
      <c r="AP38" s="261">
        <v>12</v>
      </c>
      <c r="AQ38" s="261" t="s">
        <v>1947</v>
      </c>
      <c r="AR38" s="261" t="s">
        <v>2745</v>
      </c>
      <c r="AS38" s="261" t="s">
        <v>1630</v>
      </c>
      <c r="AT38" s="261" t="s">
        <v>1946</v>
      </c>
      <c r="AU38" s="261" t="s">
        <v>2747</v>
      </c>
      <c r="AV38" s="261" t="s">
        <v>1630</v>
      </c>
      <c r="AW38" s="261" t="s">
        <v>2747</v>
      </c>
      <c r="AY38" s="243" t="s">
        <v>408</v>
      </c>
      <c r="BA38" s="243" t="s">
        <v>408</v>
      </c>
      <c r="BB38" s="261" t="s">
        <v>1630</v>
      </c>
      <c r="BC38" s="261" t="s">
        <v>2342</v>
      </c>
      <c r="BD38" s="261" t="s">
        <v>1630</v>
      </c>
      <c r="BE38" s="261" t="s">
        <v>1943</v>
      </c>
      <c r="BF38" s="261" t="s">
        <v>2763</v>
      </c>
      <c r="BG38" s="261" t="s">
        <v>2754</v>
      </c>
      <c r="BH38" s="261" t="s">
        <v>104</v>
      </c>
      <c r="BI38" s="261" t="s">
        <v>104</v>
      </c>
      <c r="BK38" s="243" t="s">
        <v>408</v>
      </c>
    </row>
    <row r="39" spans="1:63" ht="11.1" customHeight="1">
      <c r="A39" s="549"/>
      <c r="B39" s="582" t="s">
        <v>409</v>
      </c>
      <c r="C39" s="608" t="s">
        <v>104</v>
      </c>
      <c r="D39" s="608" t="s">
        <v>104</v>
      </c>
      <c r="E39" s="608" t="s">
        <v>104</v>
      </c>
      <c r="F39" s="608" t="s">
        <v>104</v>
      </c>
      <c r="G39" s="608" t="s">
        <v>104</v>
      </c>
      <c r="H39" s="608" t="s">
        <v>104</v>
      </c>
      <c r="I39" s="608" t="s">
        <v>104</v>
      </c>
      <c r="J39" s="610" t="s">
        <v>104</v>
      </c>
      <c r="K39" s="608">
        <v>12</v>
      </c>
      <c r="L39" s="608" t="s">
        <v>104</v>
      </c>
      <c r="M39" s="610" t="s">
        <v>2746</v>
      </c>
      <c r="N39" s="1413" t="s">
        <v>1947</v>
      </c>
      <c r="O39" s="608" t="s">
        <v>104</v>
      </c>
      <c r="P39" s="611" t="s">
        <v>104</v>
      </c>
      <c r="Q39" s="611" t="s">
        <v>104</v>
      </c>
      <c r="R39" s="549"/>
      <c r="S39" s="582" t="s">
        <v>409</v>
      </c>
      <c r="T39" s="549"/>
      <c r="U39" s="582" t="s">
        <v>409</v>
      </c>
      <c r="V39" s="610"/>
      <c r="W39" s="610" t="s">
        <v>104</v>
      </c>
      <c r="X39" s="610" t="s">
        <v>104</v>
      </c>
      <c r="Y39" s="610" t="s">
        <v>2747</v>
      </c>
      <c r="Z39" s="610" t="s">
        <v>104</v>
      </c>
      <c r="AA39" s="609" t="s">
        <v>104</v>
      </c>
      <c r="AB39" s="609" t="s">
        <v>104</v>
      </c>
      <c r="AC39" s="609" t="s">
        <v>104</v>
      </c>
      <c r="AD39" s="609" t="s">
        <v>104</v>
      </c>
      <c r="AE39" s="1252" t="s">
        <v>104</v>
      </c>
      <c r="AF39" s="609" t="s">
        <v>104</v>
      </c>
      <c r="AG39" s="609" t="s">
        <v>104</v>
      </c>
      <c r="AH39" s="549"/>
      <c r="AI39" s="582" t="s">
        <v>409</v>
      </c>
      <c r="AJ39" s="549"/>
      <c r="AK39" s="582" t="s">
        <v>409</v>
      </c>
      <c r="AL39" s="1181" t="s">
        <v>104</v>
      </c>
      <c r="AM39" s="608" t="s">
        <v>104</v>
      </c>
      <c r="AN39" s="611" t="s">
        <v>104</v>
      </c>
      <c r="AO39" s="1251" t="s">
        <v>104</v>
      </c>
      <c r="AP39" s="608" t="s">
        <v>104</v>
      </c>
      <c r="AQ39" s="608" t="s">
        <v>104</v>
      </c>
      <c r="AR39" s="608" t="s">
        <v>104</v>
      </c>
      <c r="AS39" s="608" t="s">
        <v>2747</v>
      </c>
      <c r="AT39" s="608" t="s">
        <v>104</v>
      </c>
      <c r="AU39" s="608" t="s">
        <v>104</v>
      </c>
      <c r="AV39" s="608" t="s">
        <v>104</v>
      </c>
      <c r="AW39" s="608" t="s">
        <v>104</v>
      </c>
      <c r="AX39" s="549"/>
      <c r="AY39" s="582" t="s">
        <v>409</v>
      </c>
      <c r="AZ39" s="549"/>
      <c r="BA39" s="582" t="s">
        <v>409</v>
      </c>
      <c r="BB39" s="608" t="s">
        <v>104</v>
      </c>
      <c r="BC39" s="608" t="s">
        <v>2342</v>
      </c>
      <c r="BD39" s="608" t="s">
        <v>104</v>
      </c>
      <c r="BE39" s="611" t="s">
        <v>104</v>
      </c>
      <c r="BF39" s="608" t="s">
        <v>104</v>
      </c>
      <c r="BG39" s="608" t="s">
        <v>2754</v>
      </c>
      <c r="BH39" s="608" t="s">
        <v>104</v>
      </c>
      <c r="BI39" s="608" t="s">
        <v>104</v>
      </c>
      <c r="BJ39" s="549"/>
      <c r="BK39" s="582" t="s">
        <v>409</v>
      </c>
    </row>
    <row r="40" spans="1:63" ht="12.75" customHeight="1">
      <c r="A40" s="2101" t="s">
        <v>427</v>
      </c>
      <c r="B40" s="2101"/>
      <c r="C40" s="261"/>
      <c r="D40" s="261"/>
      <c r="E40" s="261"/>
      <c r="F40" s="261"/>
      <c r="G40" s="261"/>
      <c r="H40" s="262"/>
      <c r="I40" s="261"/>
      <c r="J40" s="186"/>
      <c r="K40" s="261"/>
      <c r="L40" s="261"/>
      <c r="M40" s="261"/>
      <c r="N40" s="261"/>
      <c r="O40" s="261"/>
      <c r="P40" s="260"/>
      <c r="Q40" s="260"/>
      <c r="R40" s="2101" t="s">
        <v>427</v>
      </c>
      <c r="S40" s="2101"/>
      <c r="T40" s="2101" t="s">
        <v>427</v>
      </c>
      <c r="U40" s="2101"/>
      <c r="V40" s="186"/>
      <c r="W40" s="186"/>
      <c r="X40" s="186"/>
      <c r="Y40" s="186"/>
      <c r="Z40" s="186"/>
      <c r="AA40" s="104"/>
      <c r="AB40" s="104"/>
      <c r="AC40" s="104"/>
      <c r="AD40" s="104"/>
      <c r="AE40" s="104"/>
      <c r="AF40" s="104"/>
      <c r="AG40" s="104"/>
      <c r="AH40" s="2101" t="s">
        <v>427</v>
      </c>
      <c r="AI40" s="2101"/>
      <c r="AJ40" s="2101" t="s">
        <v>427</v>
      </c>
      <c r="AK40" s="2101"/>
      <c r="AL40" s="261"/>
      <c r="AM40" s="261"/>
      <c r="AN40" s="260"/>
      <c r="AO40" s="261"/>
      <c r="AP40" s="261"/>
      <c r="AQ40" s="261"/>
      <c r="AR40" s="261"/>
      <c r="AS40" s="261"/>
      <c r="AT40" s="261"/>
      <c r="AU40" s="261"/>
      <c r="AV40" s="261"/>
      <c r="AW40" s="261"/>
      <c r="AX40" s="2101" t="s">
        <v>427</v>
      </c>
      <c r="AY40" s="2101"/>
      <c r="AZ40" s="2101" t="s">
        <v>427</v>
      </c>
      <c r="BA40" s="2101"/>
      <c r="BB40" s="261"/>
      <c r="BC40" s="261"/>
      <c r="BD40" s="261"/>
      <c r="BE40" s="260" t="s">
        <v>1310</v>
      </c>
      <c r="BF40" s="261"/>
      <c r="BG40" s="261"/>
      <c r="BH40" s="261"/>
      <c r="BI40" s="261"/>
      <c r="BJ40" s="2101" t="s">
        <v>427</v>
      </c>
      <c r="BK40" s="2101"/>
    </row>
    <row r="41" spans="1:63" ht="11.1" customHeight="1">
      <c r="A41" s="549"/>
      <c r="B41" s="582" t="s">
        <v>408</v>
      </c>
      <c r="C41" s="1413" t="s">
        <v>2751</v>
      </c>
      <c r="D41" s="1527" t="s">
        <v>1735</v>
      </c>
      <c r="E41" s="610">
        <v>13</v>
      </c>
      <c r="F41" s="610" t="s">
        <v>2718</v>
      </c>
      <c r="G41" s="608">
        <v>12</v>
      </c>
      <c r="H41" s="610" t="s">
        <v>2752</v>
      </c>
      <c r="I41" s="608" t="s">
        <v>104</v>
      </c>
      <c r="J41" s="610" t="s">
        <v>104</v>
      </c>
      <c r="K41" s="608">
        <v>11</v>
      </c>
      <c r="L41" s="608" t="s">
        <v>2746</v>
      </c>
      <c r="M41" s="610" t="s">
        <v>2746</v>
      </c>
      <c r="N41" s="610" t="s">
        <v>2746</v>
      </c>
      <c r="O41" s="608" t="s">
        <v>1630</v>
      </c>
      <c r="P41" s="1322" t="s">
        <v>1947</v>
      </c>
      <c r="Q41" s="610">
        <v>12</v>
      </c>
      <c r="R41" s="549"/>
      <c r="S41" s="582" t="s">
        <v>408</v>
      </c>
      <c r="T41" s="549"/>
      <c r="U41" s="582" t="s">
        <v>408</v>
      </c>
      <c r="V41" s="610">
        <v>9</v>
      </c>
      <c r="W41" s="610" t="s">
        <v>2692</v>
      </c>
      <c r="X41" s="610" t="s">
        <v>2746</v>
      </c>
      <c r="Y41" s="610" t="s">
        <v>1946</v>
      </c>
      <c r="Z41" s="610">
        <v>15</v>
      </c>
      <c r="AA41" s="610" t="s">
        <v>1630</v>
      </c>
      <c r="AB41" s="610" t="s">
        <v>1630</v>
      </c>
      <c r="AC41" s="610">
        <v>13</v>
      </c>
      <c r="AD41" s="610" t="s">
        <v>2632</v>
      </c>
      <c r="AE41" s="610" t="s">
        <v>1947</v>
      </c>
      <c r="AF41" s="610" t="s">
        <v>2755</v>
      </c>
      <c r="AG41" s="610" t="s">
        <v>2753</v>
      </c>
      <c r="AH41" s="549"/>
      <c r="AI41" s="582" t="s">
        <v>408</v>
      </c>
      <c r="AJ41" s="549"/>
      <c r="AK41" s="582" t="s">
        <v>408</v>
      </c>
      <c r="AL41" s="608" t="s">
        <v>2725</v>
      </c>
      <c r="AM41" s="608" t="s">
        <v>1946</v>
      </c>
      <c r="AN41" s="608" t="s">
        <v>2342</v>
      </c>
      <c r="AO41" s="608" t="s">
        <v>2330</v>
      </c>
      <c r="AP41" s="608">
        <v>12</v>
      </c>
      <c r="AQ41" s="608" t="s">
        <v>2747</v>
      </c>
      <c r="AR41" s="608" t="s">
        <v>2745</v>
      </c>
      <c r="AS41" s="608" t="s">
        <v>2791</v>
      </c>
      <c r="AT41" s="608" t="s">
        <v>1947</v>
      </c>
      <c r="AU41" s="608" t="s">
        <v>1630</v>
      </c>
      <c r="AV41" s="608" t="s">
        <v>2745</v>
      </c>
      <c r="AW41" s="608" t="s">
        <v>1946</v>
      </c>
      <c r="AX41" s="549"/>
      <c r="AY41" s="582" t="s">
        <v>408</v>
      </c>
      <c r="AZ41" s="549"/>
      <c r="BA41" s="582" t="s">
        <v>408</v>
      </c>
      <c r="BB41" s="608" t="s">
        <v>2985</v>
      </c>
      <c r="BC41" s="608" t="s">
        <v>2330</v>
      </c>
      <c r="BD41" s="608" t="s">
        <v>2342</v>
      </c>
      <c r="BE41" s="616" t="s">
        <v>104</v>
      </c>
      <c r="BF41" s="608">
        <v>17.75</v>
      </c>
      <c r="BG41" s="608" t="s">
        <v>104</v>
      </c>
      <c r="BH41" s="608" t="s">
        <v>104</v>
      </c>
      <c r="BI41" s="608" t="s">
        <v>2342</v>
      </c>
      <c r="BJ41" s="549"/>
      <c r="BK41" s="582" t="s">
        <v>408</v>
      </c>
    </row>
    <row r="42" spans="1:63" ht="11.1" customHeight="1">
      <c r="B42" s="243" t="s">
        <v>409</v>
      </c>
      <c r="C42" s="161" t="s">
        <v>104</v>
      </c>
      <c r="D42" s="1415" t="s">
        <v>1735</v>
      </c>
      <c r="E42" s="261" t="s">
        <v>104</v>
      </c>
      <c r="F42" s="261" t="s">
        <v>104</v>
      </c>
      <c r="G42" s="261">
        <v>12</v>
      </c>
      <c r="H42" s="262" t="s">
        <v>104</v>
      </c>
      <c r="I42" s="261" t="s">
        <v>104</v>
      </c>
      <c r="J42" s="186" t="s">
        <v>104</v>
      </c>
      <c r="K42" s="261">
        <v>9.5</v>
      </c>
      <c r="L42" s="261" t="s">
        <v>104</v>
      </c>
      <c r="M42" s="261" t="s">
        <v>104</v>
      </c>
      <c r="N42" s="261" t="s">
        <v>2792</v>
      </c>
      <c r="O42" s="260" t="s">
        <v>104</v>
      </c>
      <c r="P42" s="261" t="s">
        <v>104</v>
      </c>
      <c r="Q42" s="261" t="s">
        <v>104</v>
      </c>
      <c r="S42" s="243" t="s">
        <v>409</v>
      </c>
      <c r="U42" s="243" t="s">
        <v>409</v>
      </c>
      <c r="V42" s="186"/>
      <c r="W42" s="186" t="s">
        <v>104</v>
      </c>
      <c r="X42" s="186" t="s">
        <v>104</v>
      </c>
      <c r="Y42" s="186" t="s">
        <v>104</v>
      </c>
      <c r="Z42" s="186" t="s">
        <v>104</v>
      </c>
      <c r="AA42" s="186" t="s">
        <v>104</v>
      </c>
      <c r="AB42" s="186" t="s">
        <v>104</v>
      </c>
      <c r="AC42" s="186" t="s">
        <v>104</v>
      </c>
      <c r="AD42" s="186" t="s">
        <v>104</v>
      </c>
      <c r="AE42" s="186" t="s">
        <v>104</v>
      </c>
      <c r="AF42" s="186" t="s">
        <v>104</v>
      </c>
      <c r="AG42" s="186" t="s">
        <v>104</v>
      </c>
      <c r="AI42" s="243" t="s">
        <v>409</v>
      </c>
      <c r="AK42" s="243" t="s">
        <v>409</v>
      </c>
      <c r="AL42" s="1180" t="s">
        <v>104</v>
      </c>
      <c r="AM42" s="261" t="s">
        <v>1946</v>
      </c>
      <c r="AN42" s="261">
        <v>9</v>
      </c>
      <c r="AO42" s="1250" t="s">
        <v>104</v>
      </c>
      <c r="AP42" s="261" t="s">
        <v>104</v>
      </c>
      <c r="AQ42" s="261" t="s">
        <v>104</v>
      </c>
      <c r="AR42" s="261" t="s">
        <v>104</v>
      </c>
      <c r="AS42" s="261" t="s">
        <v>104</v>
      </c>
      <c r="AT42" s="261" t="s">
        <v>104</v>
      </c>
      <c r="AU42" s="261" t="s">
        <v>104</v>
      </c>
      <c r="AV42" s="261" t="s">
        <v>104</v>
      </c>
      <c r="AW42" s="261" t="s">
        <v>104</v>
      </c>
      <c r="AY42" s="243" t="s">
        <v>409</v>
      </c>
      <c r="BA42" s="243" t="s">
        <v>409</v>
      </c>
      <c r="BB42" s="261" t="s">
        <v>104</v>
      </c>
      <c r="BC42" s="262" t="s">
        <v>104</v>
      </c>
      <c r="BD42" s="261" t="s">
        <v>104</v>
      </c>
      <c r="BE42" s="260" t="s">
        <v>104</v>
      </c>
      <c r="BF42" s="261" t="s">
        <v>104</v>
      </c>
      <c r="BG42" s="261" t="s">
        <v>104</v>
      </c>
      <c r="BH42" s="261" t="s">
        <v>104</v>
      </c>
      <c r="BI42" s="1180" t="s">
        <v>104</v>
      </c>
      <c r="BK42" s="243" t="s">
        <v>409</v>
      </c>
    </row>
    <row r="43" spans="1:63" ht="12.75" customHeight="1">
      <c r="A43" s="2100" t="s">
        <v>428</v>
      </c>
      <c r="B43" s="2100"/>
      <c r="C43" s="608"/>
      <c r="D43" s="608"/>
      <c r="E43" s="608"/>
      <c r="F43" s="608"/>
      <c r="G43" s="608"/>
      <c r="H43" s="608"/>
      <c r="I43" s="608"/>
      <c r="J43" s="610"/>
      <c r="K43" s="608"/>
      <c r="L43" s="608"/>
      <c r="M43" s="608"/>
      <c r="N43" s="608"/>
      <c r="O43" s="611"/>
      <c r="P43" s="608"/>
      <c r="Q43" s="611"/>
      <c r="R43" s="2100" t="s">
        <v>428</v>
      </c>
      <c r="S43" s="2100"/>
      <c r="T43" s="2100" t="s">
        <v>428</v>
      </c>
      <c r="U43" s="2100"/>
      <c r="V43" s="610"/>
      <c r="W43" s="610"/>
      <c r="X43" s="610"/>
      <c r="Y43" s="610"/>
      <c r="Z43" s="610"/>
      <c r="AA43" s="610"/>
      <c r="AB43" s="610"/>
      <c r="AC43" s="610"/>
      <c r="AD43" s="610"/>
      <c r="AE43" s="610"/>
      <c r="AF43" s="610"/>
      <c r="AG43" s="610"/>
      <c r="AH43" s="2100" t="s">
        <v>428</v>
      </c>
      <c r="AI43" s="2100"/>
      <c r="AJ43" s="2100" t="s">
        <v>428</v>
      </c>
      <c r="AK43" s="2100"/>
      <c r="AL43" s="608"/>
      <c r="AM43" s="608"/>
      <c r="AN43" s="611"/>
      <c r="AO43" s="611"/>
      <c r="AP43" s="608"/>
      <c r="AQ43" s="608"/>
      <c r="AR43" s="608"/>
      <c r="AS43" s="608"/>
      <c r="AT43" s="608"/>
      <c r="AU43" s="608"/>
      <c r="AV43" s="608"/>
      <c r="AW43" s="608"/>
      <c r="AX43" s="2100" t="s">
        <v>428</v>
      </c>
      <c r="AY43" s="2100"/>
      <c r="AZ43" s="2100" t="s">
        <v>428</v>
      </c>
      <c r="BA43" s="2100"/>
      <c r="BB43" s="608"/>
      <c r="BC43" s="608"/>
      <c r="BD43" s="608"/>
      <c r="BE43" s="611"/>
      <c r="BF43" s="608"/>
      <c r="BG43" s="608"/>
      <c r="BH43" s="608"/>
      <c r="BI43" s="608"/>
      <c r="BJ43" s="2100" t="s">
        <v>428</v>
      </c>
      <c r="BK43" s="2100"/>
    </row>
    <row r="44" spans="1:63" s="18" customFormat="1" ht="11.1" customHeight="1">
      <c r="A44" s="10"/>
      <c r="B44" s="243" t="s">
        <v>408</v>
      </c>
      <c r="C44" s="261">
        <v>13.5</v>
      </c>
      <c r="D44" s="261">
        <v>14</v>
      </c>
      <c r="E44" s="261">
        <v>13</v>
      </c>
      <c r="F44" s="261">
        <v>14</v>
      </c>
      <c r="G44" s="186" t="s">
        <v>1735</v>
      </c>
      <c r="H44" s="1180" t="s">
        <v>104</v>
      </c>
      <c r="I44" s="261">
        <v>14</v>
      </c>
      <c r="J44" s="186">
        <v>14</v>
      </c>
      <c r="K44" s="261">
        <v>11</v>
      </c>
      <c r="L44" s="261" t="s">
        <v>2746</v>
      </c>
      <c r="M44" s="186" t="s">
        <v>1947</v>
      </c>
      <c r="N44" s="161" t="s">
        <v>2747</v>
      </c>
      <c r="O44" s="261" t="s">
        <v>1947</v>
      </c>
      <c r="P44" s="186" t="s">
        <v>1920</v>
      </c>
      <c r="Q44" s="161" t="s">
        <v>2804</v>
      </c>
      <c r="R44" s="10"/>
      <c r="S44" s="243" t="s">
        <v>408</v>
      </c>
      <c r="T44" s="10"/>
      <c r="U44" s="243" t="s">
        <v>408</v>
      </c>
      <c r="V44" s="186">
        <v>12</v>
      </c>
      <c r="W44" s="186" t="s">
        <v>1943</v>
      </c>
      <c r="X44" s="186" t="s">
        <v>1920</v>
      </c>
      <c r="Y44" s="186" t="s">
        <v>1630</v>
      </c>
      <c r="Z44" s="186">
        <v>15</v>
      </c>
      <c r="AA44" s="186" t="s">
        <v>1946</v>
      </c>
      <c r="AB44" s="186" t="s">
        <v>2692</v>
      </c>
      <c r="AC44" s="186" t="s">
        <v>1947</v>
      </c>
      <c r="AD44" s="186" t="s">
        <v>2689</v>
      </c>
      <c r="AE44" s="186" t="s">
        <v>1947</v>
      </c>
      <c r="AF44" s="186" t="s">
        <v>2755</v>
      </c>
      <c r="AG44" s="186">
        <v>14</v>
      </c>
      <c r="AH44" s="10"/>
      <c r="AI44" s="243" t="s">
        <v>408</v>
      </c>
      <c r="AJ44" s="10"/>
      <c r="AK44" s="243" t="s">
        <v>408</v>
      </c>
      <c r="AL44" s="261" t="s">
        <v>1942</v>
      </c>
      <c r="AM44" s="261" t="s">
        <v>1920</v>
      </c>
      <c r="AN44" s="261" t="s">
        <v>2929</v>
      </c>
      <c r="AO44" s="186" t="s">
        <v>1946</v>
      </c>
      <c r="AP44" s="261">
        <v>12.5</v>
      </c>
      <c r="AQ44" s="261" t="s">
        <v>1947</v>
      </c>
      <c r="AR44" s="261" t="s">
        <v>2747</v>
      </c>
      <c r="AS44" s="261" t="s">
        <v>1947</v>
      </c>
      <c r="AT44" s="261" t="s">
        <v>1947</v>
      </c>
      <c r="AU44" s="261" t="s">
        <v>1630</v>
      </c>
      <c r="AV44" s="261" t="s">
        <v>1630</v>
      </c>
      <c r="AW44" s="261" t="s">
        <v>2718</v>
      </c>
      <c r="AX44" s="10"/>
      <c r="AY44" s="243" t="s">
        <v>408</v>
      </c>
      <c r="AZ44" s="10"/>
      <c r="BA44" s="243" t="s">
        <v>408</v>
      </c>
      <c r="BB44" s="261" t="s">
        <v>1947</v>
      </c>
      <c r="BC44" s="261" t="s">
        <v>2342</v>
      </c>
      <c r="BD44" s="261" t="s">
        <v>2753</v>
      </c>
      <c r="BE44" s="1180" t="s">
        <v>104</v>
      </c>
      <c r="BF44" s="261">
        <v>17.75</v>
      </c>
      <c r="BG44" s="261" t="s">
        <v>104</v>
      </c>
      <c r="BH44" s="261" t="s">
        <v>2986</v>
      </c>
      <c r="BI44" s="261" t="s">
        <v>1942</v>
      </c>
      <c r="BJ44" s="10"/>
      <c r="BK44" s="243" t="s">
        <v>408</v>
      </c>
    </row>
    <row r="45" spans="1:63" ht="11.1" customHeight="1">
      <c r="A45" s="549"/>
      <c r="B45" s="582" t="s">
        <v>409</v>
      </c>
      <c r="C45" s="608" t="s">
        <v>104</v>
      </c>
      <c r="D45" s="608" t="s">
        <v>104</v>
      </c>
      <c r="E45" s="608" t="s">
        <v>104</v>
      </c>
      <c r="F45" s="608" t="s">
        <v>104</v>
      </c>
      <c r="G45" s="608" t="s">
        <v>104</v>
      </c>
      <c r="H45" s="1181">
        <v>14</v>
      </c>
      <c r="I45" s="608" t="s">
        <v>104</v>
      </c>
      <c r="J45" s="608" t="s">
        <v>104</v>
      </c>
      <c r="K45" s="608">
        <v>11.5</v>
      </c>
      <c r="L45" s="608" t="s">
        <v>104</v>
      </c>
      <c r="M45" s="608" t="s">
        <v>104</v>
      </c>
      <c r="N45" s="1413" t="s">
        <v>2746</v>
      </c>
      <c r="O45" s="611" t="s">
        <v>104</v>
      </c>
      <c r="P45" s="611" t="s">
        <v>104</v>
      </c>
      <c r="Q45" s="611" t="s">
        <v>104</v>
      </c>
      <c r="R45" s="549"/>
      <c r="S45" s="582" t="s">
        <v>409</v>
      </c>
      <c r="T45" s="549"/>
      <c r="U45" s="582" t="s">
        <v>409</v>
      </c>
      <c r="V45" s="610" t="s">
        <v>104</v>
      </c>
      <c r="W45" s="610" t="s">
        <v>104</v>
      </c>
      <c r="X45" s="610" t="s">
        <v>104</v>
      </c>
      <c r="Y45" s="610" t="s">
        <v>104</v>
      </c>
      <c r="Z45" s="610" t="s">
        <v>104</v>
      </c>
      <c r="AA45" s="610" t="s">
        <v>104</v>
      </c>
      <c r="AB45" s="610" t="s">
        <v>104</v>
      </c>
      <c r="AC45" s="610" t="s">
        <v>104</v>
      </c>
      <c r="AD45" s="610" t="s">
        <v>104</v>
      </c>
      <c r="AE45" s="610" t="s">
        <v>104</v>
      </c>
      <c r="AF45" s="610" t="s">
        <v>104</v>
      </c>
      <c r="AG45" s="610" t="s">
        <v>104</v>
      </c>
      <c r="AH45" s="549"/>
      <c r="AI45" s="582" t="s">
        <v>409</v>
      </c>
      <c r="AJ45" s="549"/>
      <c r="AK45" s="582" t="s">
        <v>409</v>
      </c>
      <c r="AL45" s="1181" t="s">
        <v>104</v>
      </c>
      <c r="AM45" s="608" t="s">
        <v>104</v>
      </c>
      <c r="AN45" s="608" t="s">
        <v>104</v>
      </c>
      <c r="AO45" s="1251" t="s">
        <v>104</v>
      </c>
      <c r="AP45" s="608" t="s">
        <v>104</v>
      </c>
      <c r="AQ45" s="608" t="s">
        <v>104</v>
      </c>
      <c r="AR45" s="608" t="s">
        <v>104</v>
      </c>
      <c r="AS45" s="1181" t="s">
        <v>104</v>
      </c>
      <c r="AT45" s="608" t="s">
        <v>104</v>
      </c>
      <c r="AU45" s="608" t="s">
        <v>104</v>
      </c>
      <c r="AV45" s="608" t="s">
        <v>104</v>
      </c>
      <c r="AW45" s="608" t="s">
        <v>104</v>
      </c>
      <c r="AX45" s="549"/>
      <c r="AY45" s="582" t="s">
        <v>409</v>
      </c>
      <c r="AZ45" s="549"/>
      <c r="BA45" s="582" t="s">
        <v>409</v>
      </c>
      <c r="BB45" s="608" t="s">
        <v>104</v>
      </c>
      <c r="BC45" s="608" t="s">
        <v>2342</v>
      </c>
      <c r="BD45" s="608" t="s">
        <v>104</v>
      </c>
      <c r="BE45" s="611" t="s">
        <v>104</v>
      </c>
      <c r="BF45" s="608" t="s">
        <v>104</v>
      </c>
      <c r="BG45" s="608" t="s">
        <v>104</v>
      </c>
      <c r="BH45" s="608" t="s">
        <v>104</v>
      </c>
      <c r="BI45" s="1181" t="s">
        <v>104</v>
      </c>
      <c r="BJ45" s="549"/>
      <c r="BK45" s="582" t="s">
        <v>409</v>
      </c>
    </row>
    <row r="46" spans="1:63">
      <c r="A46" s="2101" t="s">
        <v>429</v>
      </c>
      <c r="B46" s="2101"/>
      <c r="N46" s="261"/>
      <c r="O46" s="260"/>
      <c r="P46" s="260"/>
      <c r="Q46" s="260"/>
      <c r="R46" s="2101" t="s">
        <v>429</v>
      </c>
      <c r="S46" s="2101"/>
      <c r="T46" s="2101" t="s">
        <v>429</v>
      </c>
      <c r="U46" s="2101"/>
      <c r="V46" s="186"/>
      <c r="W46" s="186"/>
      <c r="X46" s="186"/>
      <c r="Y46" s="186"/>
      <c r="Z46" s="186"/>
      <c r="AA46" s="186"/>
      <c r="AB46" s="186"/>
      <c r="AC46" s="186"/>
      <c r="AD46" s="186"/>
      <c r="AE46" s="186"/>
      <c r="AF46" s="186"/>
      <c r="AG46" s="186"/>
      <c r="AH46" s="2101" t="s">
        <v>429</v>
      </c>
      <c r="AI46" s="2101"/>
      <c r="AJ46" s="2101" t="s">
        <v>429</v>
      </c>
      <c r="AK46" s="2101"/>
      <c r="AL46" s="261"/>
      <c r="AM46" s="261"/>
      <c r="AN46" s="261"/>
      <c r="AO46" s="261"/>
      <c r="AP46" s="261"/>
      <c r="AQ46" s="261"/>
      <c r="AR46" s="261"/>
      <c r="AS46" s="261"/>
      <c r="AT46" s="261"/>
      <c r="AU46" s="261"/>
      <c r="AV46" s="261"/>
      <c r="AW46" s="261"/>
      <c r="AX46" s="2101" t="s">
        <v>429</v>
      </c>
      <c r="AY46" s="2101"/>
      <c r="AZ46" s="2101" t="s">
        <v>429</v>
      </c>
      <c r="BA46" s="2101"/>
      <c r="BB46" s="261"/>
      <c r="BC46" s="261"/>
      <c r="BD46" s="261"/>
      <c r="BE46" s="260"/>
      <c r="BF46" s="261"/>
      <c r="BG46" s="261"/>
      <c r="BH46" s="261"/>
      <c r="BI46" s="261"/>
      <c r="BJ46" s="2101" t="s">
        <v>429</v>
      </c>
      <c r="BK46" s="2101"/>
    </row>
    <row r="47" spans="1:63" s="11" customFormat="1" ht="11.1" customHeight="1">
      <c r="A47" s="543"/>
      <c r="B47" s="582" t="s">
        <v>408</v>
      </c>
      <c r="C47" s="610" t="s">
        <v>104</v>
      </c>
      <c r="D47" s="1527" t="s">
        <v>2757</v>
      </c>
      <c r="E47" s="1413" t="s">
        <v>2785</v>
      </c>
      <c r="F47" s="610">
        <v>14</v>
      </c>
      <c r="G47" s="610" t="s">
        <v>2692</v>
      </c>
      <c r="H47" s="610" t="s">
        <v>1941</v>
      </c>
      <c r="I47" s="608" t="s">
        <v>104</v>
      </c>
      <c r="J47" s="610">
        <v>12</v>
      </c>
      <c r="K47" s="608">
        <v>19</v>
      </c>
      <c r="L47" s="607" t="s">
        <v>2747</v>
      </c>
      <c r="M47" s="607">
        <v>10</v>
      </c>
      <c r="N47" s="1413" t="s">
        <v>1947</v>
      </c>
      <c r="O47" s="608" t="s">
        <v>1946</v>
      </c>
      <c r="P47" s="610" t="s">
        <v>1945</v>
      </c>
      <c r="Q47" s="608">
        <v>13</v>
      </c>
      <c r="R47" s="543"/>
      <c r="S47" s="582" t="s">
        <v>408</v>
      </c>
      <c r="T47" s="543"/>
      <c r="U47" s="582" t="s">
        <v>408</v>
      </c>
      <c r="V47" s="610" t="s">
        <v>2745</v>
      </c>
      <c r="W47" s="610" t="s">
        <v>2757</v>
      </c>
      <c r="X47" s="610" t="s">
        <v>2784</v>
      </c>
      <c r="Y47" s="610" t="s">
        <v>2747</v>
      </c>
      <c r="Z47" s="609" t="s">
        <v>1945</v>
      </c>
      <c r="AA47" s="610" t="s">
        <v>2868</v>
      </c>
      <c r="AB47" s="610" t="s">
        <v>1630</v>
      </c>
      <c r="AC47" s="610">
        <v>10</v>
      </c>
      <c r="AD47" s="610" t="s">
        <v>104</v>
      </c>
      <c r="AE47" s="610" t="s">
        <v>1947</v>
      </c>
      <c r="AF47" s="610" t="s">
        <v>2755</v>
      </c>
      <c r="AG47" s="610" t="s">
        <v>104</v>
      </c>
      <c r="AH47" s="543"/>
      <c r="AI47" s="582" t="s">
        <v>408</v>
      </c>
      <c r="AJ47" s="543"/>
      <c r="AK47" s="582" t="s">
        <v>408</v>
      </c>
      <c r="AL47" s="608" t="s">
        <v>2760</v>
      </c>
      <c r="AM47" s="608" t="s">
        <v>2754</v>
      </c>
      <c r="AN47" s="608" t="s">
        <v>2761</v>
      </c>
      <c r="AO47" s="608" t="s">
        <v>2930</v>
      </c>
      <c r="AP47" s="608">
        <v>13</v>
      </c>
      <c r="AQ47" s="608" t="s">
        <v>1947</v>
      </c>
      <c r="AR47" s="608" t="s">
        <v>2787</v>
      </c>
      <c r="AS47" s="608" t="s">
        <v>2375</v>
      </c>
      <c r="AT47" s="608" t="s">
        <v>1946</v>
      </c>
      <c r="AU47" s="608" t="s">
        <v>2788</v>
      </c>
      <c r="AV47" s="608" t="s">
        <v>1947</v>
      </c>
      <c r="AW47" s="608" t="s">
        <v>2948</v>
      </c>
      <c r="AX47" s="543"/>
      <c r="AY47" s="582" t="s">
        <v>408</v>
      </c>
      <c r="AZ47" s="543"/>
      <c r="BA47" s="582" t="s">
        <v>408</v>
      </c>
      <c r="BB47" s="608" t="s">
        <v>1947</v>
      </c>
      <c r="BC47" s="608" t="s">
        <v>2904</v>
      </c>
      <c r="BD47" s="608" t="s">
        <v>2330</v>
      </c>
      <c r="BE47" s="608" t="s">
        <v>1948</v>
      </c>
      <c r="BF47" s="608" t="s">
        <v>2767</v>
      </c>
      <c r="BG47" s="608" t="s">
        <v>2870</v>
      </c>
      <c r="BH47" s="608" t="s">
        <v>104</v>
      </c>
      <c r="BI47" s="608" t="s">
        <v>2931</v>
      </c>
      <c r="BJ47" s="543"/>
      <c r="BK47" s="582" t="s">
        <v>408</v>
      </c>
    </row>
    <row r="48" spans="1:63" s="476" customFormat="1" ht="11.1" customHeight="1" thickBot="1">
      <c r="A48" s="951"/>
      <c r="B48" s="955" t="s">
        <v>409</v>
      </c>
      <c r="C48" s="1014">
        <v>13</v>
      </c>
      <c r="D48" s="1416" t="s">
        <v>104</v>
      </c>
      <c r="E48" s="1019" t="s">
        <v>104</v>
      </c>
      <c r="F48" s="643" t="s">
        <v>104</v>
      </c>
      <c r="G48" s="1019" t="s">
        <v>104</v>
      </c>
      <c r="H48" s="1019" t="s">
        <v>104</v>
      </c>
      <c r="I48" s="1017" t="s">
        <v>2866</v>
      </c>
      <c r="J48" s="1019" t="s">
        <v>104</v>
      </c>
      <c r="K48" s="1014">
        <v>8.5</v>
      </c>
      <c r="L48" s="1182" t="s">
        <v>104</v>
      </c>
      <c r="M48" s="1017" t="s">
        <v>1946</v>
      </c>
      <c r="N48" s="1502" t="s">
        <v>104</v>
      </c>
      <c r="O48" s="1015" t="s">
        <v>104</v>
      </c>
      <c r="P48" s="1015" t="s">
        <v>104</v>
      </c>
      <c r="Q48" s="1016" t="s">
        <v>104</v>
      </c>
      <c r="R48" s="951"/>
      <c r="S48" s="955" t="s">
        <v>409</v>
      </c>
      <c r="T48" s="951"/>
      <c r="U48" s="955" t="s">
        <v>409</v>
      </c>
      <c r="V48" s="1017" t="s">
        <v>104</v>
      </c>
      <c r="W48" s="1017" t="s">
        <v>104</v>
      </c>
      <c r="X48" s="1018" t="s">
        <v>104</v>
      </c>
      <c r="Y48" s="1017" t="s">
        <v>2747</v>
      </c>
      <c r="Z48" s="1018" t="s">
        <v>104</v>
      </c>
      <c r="AA48" s="1018" t="s">
        <v>104</v>
      </c>
      <c r="AB48" s="1018" t="s">
        <v>2662</v>
      </c>
      <c r="AC48" s="1018" t="s">
        <v>2923</v>
      </c>
      <c r="AD48" s="1018" t="s">
        <v>104</v>
      </c>
      <c r="AE48" s="1018" t="s">
        <v>104</v>
      </c>
      <c r="AF48" s="1018" t="s">
        <v>104</v>
      </c>
      <c r="AG48" s="1018" t="s">
        <v>104</v>
      </c>
      <c r="AH48" s="951"/>
      <c r="AI48" s="955" t="s">
        <v>409</v>
      </c>
      <c r="AJ48" s="951"/>
      <c r="AK48" s="955" t="s">
        <v>409</v>
      </c>
      <c r="AL48" s="1182" t="s">
        <v>104</v>
      </c>
      <c r="AM48" s="1014" t="s">
        <v>104</v>
      </c>
      <c r="AN48" s="1015" t="s">
        <v>104</v>
      </c>
      <c r="AO48" s="1015" t="s">
        <v>104</v>
      </c>
      <c r="AP48" s="1015" t="s">
        <v>104</v>
      </c>
      <c r="AQ48" s="1015" t="s">
        <v>104</v>
      </c>
      <c r="AR48" s="1015" t="s">
        <v>104</v>
      </c>
      <c r="AS48" s="1015" t="s">
        <v>1735</v>
      </c>
      <c r="AT48" s="1015" t="s">
        <v>104</v>
      </c>
      <c r="AU48" s="1015" t="s">
        <v>104</v>
      </c>
      <c r="AV48" s="1182" t="s">
        <v>104</v>
      </c>
      <c r="AW48" s="1015" t="s">
        <v>1946</v>
      </c>
      <c r="AX48" s="951"/>
      <c r="AY48" s="955" t="s">
        <v>409</v>
      </c>
      <c r="AZ48" s="951"/>
      <c r="BA48" s="955" t="s">
        <v>409</v>
      </c>
      <c r="BB48" s="1014" t="s">
        <v>104</v>
      </c>
      <c r="BC48" s="1014" t="s">
        <v>2904</v>
      </c>
      <c r="BD48" s="1014" t="s">
        <v>104</v>
      </c>
      <c r="BE48" s="1015" t="s">
        <v>104</v>
      </c>
      <c r="BF48" s="1015" t="s">
        <v>104</v>
      </c>
      <c r="BG48" s="1014" t="s">
        <v>2768</v>
      </c>
      <c r="BH48" s="1014" t="s">
        <v>104</v>
      </c>
      <c r="BI48" s="1182" t="s">
        <v>104</v>
      </c>
      <c r="BJ48" s="951"/>
      <c r="BK48" s="955" t="s">
        <v>409</v>
      </c>
    </row>
    <row r="49" spans="1:56" ht="3.75" customHeight="1">
      <c r="B49" s="229"/>
      <c r="C49" s="131"/>
      <c r="D49" s="131"/>
      <c r="E49" s="131"/>
      <c r="F49" s="131"/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S49" s="229"/>
      <c r="U49" s="229"/>
      <c r="V49" s="131"/>
      <c r="W49" s="131"/>
      <c r="X49" s="131"/>
      <c r="Y49" s="131"/>
      <c r="Z49" s="131"/>
      <c r="AA49" s="131"/>
      <c r="AB49" s="131"/>
      <c r="AC49" s="131"/>
      <c r="AD49" s="131"/>
      <c r="AE49" s="131"/>
      <c r="AF49" s="131"/>
      <c r="AG49" s="131"/>
    </row>
    <row r="50" spans="1:56" ht="10.5" customHeight="1">
      <c r="A50" s="2102" t="s">
        <v>595</v>
      </c>
      <c r="B50" s="2102"/>
      <c r="C50" s="2102"/>
      <c r="D50" s="2102"/>
      <c r="E50" s="2102"/>
      <c r="F50" s="2102"/>
      <c r="G50" s="2102"/>
      <c r="H50" s="2102"/>
      <c r="I50" s="2102"/>
      <c r="J50" s="2102"/>
      <c r="K50" s="234"/>
      <c r="L50" s="234"/>
      <c r="M50" s="234"/>
      <c r="N50" s="234"/>
      <c r="O50" s="234"/>
      <c r="P50" s="234"/>
      <c r="Q50" s="234"/>
      <c r="R50" s="234"/>
      <c r="S50" s="234"/>
      <c r="T50" s="2102" t="s">
        <v>1389</v>
      </c>
      <c r="U50" s="2102"/>
      <c r="V50" s="2102"/>
      <c r="W50" s="2102"/>
      <c r="X50" s="2102"/>
      <c r="Y50" s="235"/>
      <c r="Z50" s="231"/>
      <c r="AA50" s="231"/>
      <c r="AB50" s="231"/>
      <c r="AC50" s="231"/>
      <c r="AD50" s="231"/>
      <c r="AE50" s="231"/>
      <c r="AF50" s="231"/>
      <c r="AG50" s="231"/>
      <c r="AJ50" s="2102" t="s">
        <v>1389</v>
      </c>
      <c r="AK50" s="2102"/>
      <c r="AL50" s="2102"/>
      <c r="AM50" s="2102"/>
      <c r="AN50" s="2102"/>
      <c r="AZ50" s="2102" t="s">
        <v>1389</v>
      </c>
      <c r="BA50" s="2102"/>
      <c r="BB50" s="2102"/>
      <c r="BC50" s="2102"/>
      <c r="BD50" s="2102"/>
    </row>
    <row r="51" spans="1:56" ht="9" customHeight="1">
      <c r="B51" s="18" t="s">
        <v>415</v>
      </c>
      <c r="U51" s="18" t="s">
        <v>415</v>
      </c>
      <c r="V51" s="41"/>
      <c r="W51" s="41"/>
      <c r="X51" s="41"/>
      <c r="Y51" s="41"/>
      <c r="AA51" s="41"/>
      <c r="AB51" s="41"/>
      <c r="AC51" s="41"/>
      <c r="AD51" s="41"/>
      <c r="AE51" s="41"/>
      <c r="AF51" s="41"/>
      <c r="AG51" s="41"/>
      <c r="AK51" s="18" t="s">
        <v>415</v>
      </c>
      <c r="AL51" s="41"/>
      <c r="AM51" s="41"/>
      <c r="AN51" s="41"/>
      <c r="BA51" s="18" t="s">
        <v>415</v>
      </c>
      <c r="BB51" s="41"/>
      <c r="BC51" s="41"/>
      <c r="BD51" s="41"/>
    </row>
  </sheetData>
  <mergeCells count="138">
    <mergeCell ref="AJ1:AQ1"/>
    <mergeCell ref="AZ46:BA46"/>
    <mergeCell ref="BJ36:BK36"/>
    <mergeCell ref="AH23:AI23"/>
    <mergeCell ref="AJ37:AK37"/>
    <mergeCell ref="AX40:AY40"/>
    <mergeCell ref="AX37:AY37"/>
    <mergeCell ref="BJ40:BK40"/>
    <mergeCell ref="BJ37:BK37"/>
    <mergeCell ref="AX6:AY6"/>
    <mergeCell ref="AZ6:BA6"/>
    <mergeCell ref="AJ6:AK6"/>
    <mergeCell ref="AZ19:BA19"/>
    <mergeCell ref="BJ20:BK20"/>
    <mergeCell ref="BJ19:BK19"/>
    <mergeCell ref="BJ13:BK13"/>
    <mergeCell ref="AZ7:BA7"/>
    <mergeCell ref="AX7:AY7"/>
    <mergeCell ref="BJ7:BK7"/>
    <mergeCell ref="AZ13:BA13"/>
    <mergeCell ref="AX13:AY13"/>
    <mergeCell ref="AH46:AI46"/>
    <mergeCell ref="BJ43:BK43"/>
    <mergeCell ref="AH7:AI7"/>
    <mergeCell ref="T13:U13"/>
    <mergeCell ref="AH40:AI40"/>
    <mergeCell ref="R7:S7"/>
    <mergeCell ref="AJ23:AK23"/>
    <mergeCell ref="AH6:AI6"/>
    <mergeCell ref="T6:U6"/>
    <mergeCell ref="V3:AG3"/>
    <mergeCell ref="R20:S20"/>
    <mergeCell ref="AJ19:AK19"/>
    <mergeCell ref="AJ3:AK5"/>
    <mergeCell ref="AH3:AI5"/>
    <mergeCell ref="AH13:AI13"/>
    <mergeCell ref="R3:S5"/>
    <mergeCell ref="AH37:AI37"/>
    <mergeCell ref="BJ6:BK6"/>
    <mergeCell ref="R1:S1"/>
    <mergeCell ref="AB1:AG1"/>
    <mergeCell ref="T1:AA1"/>
    <mergeCell ref="R13:S13"/>
    <mergeCell ref="BJ1:BK1"/>
    <mergeCell ref="BF1:BI1"/>
    <mergeCell ref="BB1:BE1"/>
    <mergeCell ref="BD2:BE2"/>
    <mergeCell ref="BJ3:BK5"/>
    <mergeCell ref="BB3:BI3"/>
    <mergeCell ref="BF2:BH2"/>
    <mergeCell ref="AX1:AY1"/>
    <mergeCell ref="AZ3:BA5"/>
    <mergeCell ref="AX3:AY5"/>
    <mergeCell ref="AL3:AW3"/>
    <mergeCell ref="AH1:AI1"/>
    <mergeCell ref="R6:S6"/>
    <mergeCell ref="T3:U5"/>
    <mergeCell ref="AR1:AW1"/>
    <mergeCell ref="X2:Y2"/>
    <mergeCell ref="AJ7:AK7"/>
    <mergeCell ref="AJ13:AK13"/>
    <mergeCell ref="T7:U7"/>
    <mergeCell ref="B1:J1"/>
    <mergeCell ref="K2:L2"/>
    <mergeCell ref="A13:B13"/>
    <mergeCell ref="A7:B7"/>
    <mergeCell ref="K1:Q1"/>
    <mergeCell ref="A6:B6"/>
    <mergeCell ref="K3:Q3"/>
    <mergeCell ref="A3:B5"/>
    <mergeCell ref="I3:J3"/>
    <mergeCell ref="C3:H3"/>
    <mergeCell ref="AX19:AY19"/>
    <mergeCell ref="BJ23:BK23"/>
    <mergeCell ref="AZ26:BA26"/>
    <mergeCell ref="AZ20:BA20"/>
    <mergeCell ref="AZ23:BA23"/>
    <mergeCell ref="A23:B23"/>
    <mergeCell ref="AJ20:AK20"/>
    <mergeCell ref="AH26:AI26"/>
    <mergeCell ref="AH29:AI29"/>
    <mergeCell ref="AX20:AY20"/>
    <mergeCell ref="AX23:AY23"/>
    <mergeCell ref="AX29:AY29"/>
    <mergeCell ref="AH20:AI20"/>
    <mergeCell ref="BJ26:BK26"/>
    <mergeCell ref="BJ29:BK29"/>
    <mergeCell ref="R29:S29"/>
    <mergeCell ref="AH19:AI19"/>
    <mergeCell ref="A50:J50"/>
    <mergeCell ref="T19:U19"/>
    <mergeCell ref="T26:U26"/>
    <mergeCell ref="T29:U29"/>
    <mergeCell ref="T36:U36"/>
    <mergeCell ref="T43:U43"/>
    <mergeCell ref="T46:U46"/>
    <mergeCell ref="T50:X50"/>
    <mergeCell ref="A36:B36"/>
    <mergeCell ref="A43:B43"/>
    <mergeCell ref="R43:S43"/>
    <mergeCell ref="A46:B46"/>
    <mergeCell ref="R46:S46"/>
    <mergeCell ref="A19:B19"/>
    <mergeCell ref="R19:S19"/>
    <mergeCell ref="A26:B26"/>
    <mergeCell ref="R26:S26"/>
    <mergeCell ref="A29:B29"/>
    <mergeCell ref="R40:S40"/>
    <mergeCell ref="R37:S37"/>
    <mergeCell ref="T37:U37"/>
    <mergeCell ref="T40:U40"/>
    <mergeCell ref="A40:B40"/>
    <mergeCell ref="A20:B20"/>
    <mergeCell ref="AJ50:AN50"/>
    <mergeCell ref="AZ50:BD50"/>
    <mergeCell ref="AX46:AY46"/>
    <mergeCell ref="AZ36:BA36"/>
    <mergeCell ref="AZ37:BA37"/>
    <mergeCell ref="AJ36:AK36"/>
    <mergeCell ref="AJ43:AK43"/>
    <mergeCell ref="AZ43:BA43"/>
    <mergeCell ref="AX43:AY43"/>
    <mergeCell ref="AJ46:AK46"/>
    <mergeCell ref="AJ40:AK40"/>
    <mergeCell ref="AX36:AY36"/>
    <mergeCell ref="A37:B37"/>
    <mergeCell ref="R23:S23"/>
    <mergeCell ref="T23:U23"/>
    <mergeCell ref="T20:U20"/>
    <mergeCell ref="BJ46:BK46"/>
    <mergeCell ref="AX26:AY26"/>
    <mergeCell ref="AJ26:AK26"/>
    <mergeCell ref="AJ29:AK29"/>
    <mergeCell ref="AZ29:BA29"/>
    <mergeCell ref="AZ40:BA40"/>
    <mergeCell ref="R36:S36"/>
    <mergeCell ref="AH36:AI36"/>
    <mergeCell ref="AH43:AI43"/>
  </mergeCells>
  <phoneticPr fontId="47" type="noConversion"/>
  <pageMargins left="0.511811023622047" right="0.511811023622047" top="0.511811023622047" bottom="0.511811023622047" header="0" footer="0.43307086614173201"/>
  <pageSetup paperSize="512" firstPageNumber="66" orientation="portrait" useFirstPageNumber="1" r:id="rId1"/>
  <headerFooter>
    <oddFooter>&amp;C&amp;"Times New Roman,Regular"&amp;8&amp;P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P56"/>
  <sheetViews>
    <sheetView zoomScale="120" zoomScaleNormal="120" workbookViewId="0">
      <pane xSplit="3" ySplit="3" topLeftCell="D49" activePane="bottomRight" state="frozen"/>
      <selection pane="topRight" activeCell="D1" sqref="D1"/>
      <selection pane="bottomLeft" activeCell="A4" sqref="A4"/>
      <selection pane="bottomRight" activeCell="E68" sqref="E68"/>
    </sheetView>
  </sheetViews>
  <sheetFormatPr defaultColWidth="9.140625" defaultRowHeight="12.75"/>
  <cols>
    <col min="1" max="1" width="1.85546875" style="2" customWidth="1"/>
    <col min="2" max="2" width="2.5703125" style="2" customWidth="1"/>
    <col min="3" max="3" width="27.140625" style="2" customWidth="1"/>
    <col min="4" max="4" width="6.5703125" style="2" customWidth="1"/>
    <col min="5" max="5" width="5.5703125" style="2" customWidth="1"/>
    <col min="6" max="6" width="5.140625" style="2" customWidth="1"/>
    <col min="7" max="7" width="5.5703125" style="2" customWidth="1"/>
    <col min="8" max="8" width="6.85546875" style="2" customWidth="1"/>
    <col min="9" max="9" width="5.28515625" style="2" customWidth="1"/>
    <col min="10" max="10" width="6" style="2" customWidth="1"/>
    <col min="11" max="11" width="5.85546875" style="2" customWidth="1"/>
    <col min="12" max="12" width="7.5703125" style="2" customWidth="1"/>
    <col min="13" max="16384" width="9.140625" style="2"/>
  </cols>
  <sheetData>
    <row r="1" spans="1:16" s="24" customFormat="1" ht="15" customHeight="1">
      <c r="B1" s="2121" t="s">
        <v>2910</v>
      </c>
      <c r="C1" s="2121"/>
      <c r="D1" s="2121"/>
      <c r="E1" s="2121"/>
      <c r="F1" s="2121"/>
      <c r="G1" s="2121"/>
      <c r="H1" s="2121"/>
      <c r="I1" s="2121"/>
      <c r="J1" s="2121"/>
      <c r="K1" s="2121" t="s">
        <v>2455</v>
      </c>
      <c r="L1" s="2121"/>
    </row>
    <row r="2" spans="1:16" s="5" customFormat="1" ht="11.25" customHeight="1">
      <c r="B2" s="190"/>
      <c r="C2" s="190"/>
      <c r="D2" s="190"/>
      <c r="E2" s="190"/>
      <c r="F2" s="190"/>
      <c r="G2" s="190"/>
      <c r="H2" s="219"/>
      <c r="I2" s="219"/>
      <c r="J2" s="1990" t="s">
        <v>1159</v>
      </c>
      <c r="K2" s="1990"/>
      <c r="L2" s="1990"/>
    </row>
    <row r="3" spans="1:16" s="78" customFormat="1" ht="60" customHeight="1">
      <c r="A3" s="2122" t="s">
        <v>1225</v>
      </c>
      <c r="B3" s="2122"/>
      <c r="C3" s="2122"/>
      <c r="D3" s="241" t="s">
        <v>250</v>
      </c>
      <c r="E3" s="241" t="s">
        <v>249</v>
      </c>
      <c r="F3" s="241" t="s">
        <v>248</v>
      </c>
      <c r="G3" s="241" t="s">
        <v>251</v>
      </c>
      <c r="H3" s="241" t="s">
        <v>252</v>
      </c>
      <c r="I3" s="241" t="s">
        <v>2434</v>
      </c>
      <c r="J3" s="241" t="s">
        <v>253</v>
      </c>
      <c r="K3" s="241" t="s">
        <v>254</v>
      </c>
      <c r="L3" s="129" t="s">
        <v>247</v>
      </c>
      <c r="P3" s="58"/>
    </row>
    <row r="4" spans="1:16" s="9" customFormat="1" ht="14.25" customHeight="1">
      <c r="A4" s="189" t="s">
        <v>1266</v>
      </c>
      <c r="B4" s="2123" t="s">
        <v>1296</v>
      </c>
      <c r="C4" s="2123"/>
      <c r="D4" s="19">
        <v>4.26</v>
      </c>
      <c r="E4" s="19">
        <v>3.02</v>
      </c>
      <c r="F4" s="19">
        <v>3</v>
      </c>
      <c r="G4" s="19">
        <v>4</v>
      </c>
      <c r="H4" s="19">
        <v>3.96</v>
      </c>
      <c r="I4" s="19">
        <v>6</v>
      </c>
      <c r="J4" s="440">
        <v>4</v>
      </c>
      <c r="K4" s="19">
        <v>4.82</v>
      </c>
      <c r="L4" s="39">
        <v>3.53</v>
      </c>
    </row>
    <row r="5" spans="1:16" s="47" customFormat="1" ht="10.5" customHeight="1">
      <c r="A5" s="622" t="s">
        <v>1267</v>
      </c>
      <c r="B5" s="2124" t="s">
        <v>1297</v>
      </c>
      <c r="C5" s="2124"/>
      <c r="D5" s="580"/>
      <c r="E5" s="580"/>
      <c r="F5" s="580"/>
      <c r="G5" s="625"/>
      <c r="H5" s="625"/>
      <c r="I5" s="625"/>
      <c r="J5" s="580"/>
      <c r="K5" s="580"/>
      <c r="L5" s="550"/>
    </row>
    <row r="6" spans="1:16" s="47" customFormat="1" ht="10.5" customHeight="1">
      <c r="A6" s="189"/>
      <c r="B6" s="198" t="s">
        <v>1298</v>
      </c>
      <c r="C6" s="12" t="s">
        <v>1299</v>
      </c>
      <c r="D6" s="19">
        <v>7.2</v>
      </c>
      <c r="E6" s="19">
        <v>6.03</v>
      </c>
      <c r="F6" s="199" t="s">
        <v>836</v>
      </c>
      <c r="G6" s="19">
        <v>10</v>
      </c>
      <c r="H6" s="19" t="s">
        <v>836</v>
      </c>
      <c r="I6" s="19">
        <v>8.5</v>
      </c>
      <c r="J6" s="19">
        <v>6.75</v>
      </c>
      <c r="K6" s="19">
        <v>7.35</v>
      </c>
      <c r="L6" s="39">
        <v>9.66</v>
      </c>
    </row>
    <row r="7" spans="1:16" s="47" customFormat="1" ht="10.5" customHeight="1">
      <c r="A7" s="622"/>
      <c r="B7" s="624" t="s">
        <v>1300</v>
      </c>
      <c r="C7" s="552" t="s">
        <v>1301</v>
      </c>
      <c r="D7" s="580">
        <v>7</v>
      </c>
      <c r="E7" s="580">
        <v>6.03</v>
      </c>
      <c r="F7" s="625" t="s">
        <v>836</v>
      </c>
      <c r="G7" s="580">
        <v>10</v>
      </c>
      <c r="H7" s="580" t="s">
        <v>836</v>
      </c>
      <c r="I7" s="580">
        <v>8.5</v>
      </c>
      <c r="J7" s="580">
        <v>6.75</v>
      </c>
      <c r="K7" s="580">
        <v>7.35</v>
      </c>
      <c r="L7" s="540">
        <v>9.61</v>
      </c>
    </row>
    <row r="8" spans="1:16" s="47" customFormat="1" ht="10.5" customHeight="1">
      <c r="A8" s="189"/>
      <c r="B8" s="198" t="s">
        <v>1302</v>
      </c>
      <c r="C8" s="12" t="s">
        <v>200</v>
      </c>
      <c r="D8" s="19">
        <v>6.8</v>
      </c>
      <c r="E8" s="19">
        <v>5.73</v>
      </c>
      <c r="F8" s="199">
        <v>8</v>
      </c>
      <c r="G8" s="19">
        <v>8.5</v>
      </c>
      <c r="H8" s="19">
        <v>6.43</v>
      </c>
      <c r="I8" s="19">
        <v>8.5</v>
      </c>
      <c r="J8" s="19">
        <v>6.75</v>
      </c>
      <c r="K8" s="19">
        <v>7.35</v>
      </c>
      <c r="L8" s="39">
        <v>9.36</v>
      </c>
    </row>
    <row r="9" spans="1:16" s="47" customFormat="1" ht="10.5" customHeight="1">
      <c r="A9" s="622"/>
      <c r="B9" s="624" t="s">
        <v>1303</v>
      </c>
      <c r="C9" s="552" t="s">
        <v>1304</v>
      </c>
      <c r="D9" s="580">
        <v>6.67</v>
      </c>
      <c r="E9" s="580">
        <v>5.43</v>
      </c>
      <c r="F9" s="625">
        <v>7.75</v>
      </c>
      <c r="G9" s="580">
        <v>8.5</v>
      </c>
      <c r="H9" s="580">
        <v>6.27</v>
      </c>
      <c r="I9" s="580">
        <v>8.25</v>
      </c>
      <c r="J9" s="580">
        <v>6.5</v>
      </c>
      <c r="K9" s="580">
        <v>7.04</v>
      </c>
      <c r="L9" s="540">
        <v>9.2200000000000006</v>
      </c>
    </row>
    <row r="10" spans="1:16" s="47" customFormat="1" ht="10.5" customHeight="1">
      <c r="A10" s="189"/>
      <c r="B10" s="198" t="s">
        <v>1305</v>
      </c>
      <c r="C10" s="12" t="s">
        <v>1306</v>
      </c>
      <c r="D10" s="19">
        <v>6.42</v>
      </c>
      <c r="E10" s="19">
        <v>5.13</v>
      </c>
      <c r="F10" s="19">
        <v>7.5</v>
      </c>
      <c r="G10" s="19">
        <v>8.5</v>
      </c>
      <c r="H10" s="19">
        <v>6.19</v>
      </c>
      <c r="I10" s="19">
        <v>8</v>
      </c>
      <c r="J10" s="19">
        <v>6.25</v>
      </c>
      <c r="K10" s="19">
        <v>6.73</v>
      </c>
      <c r="L10" s="39">
        <v>9.16</v>
      </c>
    </row>
    <row r="11" spans="1:16" s="47" customFormat="1" ht="10.5" customHeight="1">
      <c r="A11" s="622"/>
      <c r="B11" s="624" t="s">
        <v>874</v>
      </c>
      <c r="C11" s="552" t="s">
        <v>199</v>
      </c>
      <c r="D11" s="580">
        <v>5.17</v>
      </c>
      <c r="E11" s="580">
        <v>4.8499999999999996</v>
      </c>
      <c r="F11" s="580">
        <v>4</v>
      </c>
      <c r="G11" s="580">
        <v>8.5</v>
      </c>
      <c r="H11" s="580">
        <v>4.95</v>
      </c>
      <c r="I11" s="580">
        <v>6</v>
      </c>
      <c r="J11" s="580">
        <v>4.75</v>
      </c>
      <c r="K11" s="580">
        <v>6.35</v>
      </c>
      <c r="L11" s="540">
        <v>5.96</v>
      </c>
    </row>
    <row r="12" spans="1:16" s="302" customFormat="1" ht="10.5" customHeight="1">
      <c r="A12" s="301" t="s">
        <v>1268</v>
      </c>
      <c r="B12" s="2126" t="s">
        <v>1307</v>
      </c>
      <c r="C12" s="2126"/>
      <c r="D12" s="669"/>
      <c r="E12" s="669"/>
      <c r="F12" s="669"/>
      <c r="G12" s="669"/>
      <c r="H12" s="669"/>
      <c r="I12" s="669"/>
      <c r="J12" s="669"/>
      <c r="K12" s="669"/>
      <c r="L12" s="25"/>
    </row>
    <row r="13" spans="1:16" s="47" customFormat="1" ht="10.5" customHeight="1">
      <c r="A13" s="606"/>
      <c r="B13" s="624" t="s">
        <v>1298</v>
      </c>
      <c r="C13" s="552" t="s">
        <v>1308</v>
      </c>
      <c r="D13" s="580" t="s">
        <v>836</v>
      </c>
      <c r="E13" s="580">
        <v>6.64</v>
      </c>
      <c r="F13" s="580" t="s">
        <v>836</v>
      </c>
      <c r="G13" s="625" t="s">
        <v>836</v>
      </c>
      <c r="H13" s="625" t="s">
        <v>836</v>
      </c>
      <c r="I13" s="625" t="s">
        <v>836</v>
      </c>
      <c r="J13" s="625" t="s">
        <v>836</v>
      </c>
      <c r="K13" s="625">
        <v>10.87</v>
      </c>
      <c r="L13" s="540">
        <v>10.65</v>
      </c>
    </row>
    <row r="14" spans="1:16" s="47" customFormat="1" ht="10.5" customHeight="1">
      <c r="A14" s="59"/>
      <c r="B14" s="198" t="s">
        <v>1300</v>
      </c>
      <c r="C14" s="12" t="s">
        <v>1309</v>
      </c>
      <c r="D14" s="19" t="s">
        <v>836</v>
      </c>
      <c r="E14" s="19">
        <v>6.64</v>
      </c>
      <c r="F14" s="19" t="s">
        <v>836</v>
      </c>
      <c r="G14" s="19" t="s">
        <v>836</v>
      </c>
      <c r="H14" s="19" t="s">
        <v>836</v>
      </c>
      <c r="I14" s="19" t="s">
        <v>836</v>
      </c>
      <c r="J14" s="199" t="s">
        <v>836</v>
      </c>
      <c r="K14" s="199" t="s">
        <v>836</v>
      </c>
      <c r="L14" s="39" t="s">
        <v>836</v>
      </c>
    </row>
    <row r="15" spans="1:16" s="47" customFormat="1" ht="10.5" customHeight="1">
      <c r="A15" s="606"/>
      <c r="B15" s="552" t="s">
        <v>1302</v>
      </c>
      <c r="C15" s="552" t="s">
        <v>571</v>
      </c>
      <c r="D15" s="580" t="s">
        <v>836</v>
      </c>
      <c r="E15" s="580">
        <v>6.64</v>
      </c>
      <c r="F15" s="580" t="s">
        <v>836</v>
      </c>
      <c r="G15" s="625">
        <v>5</v>
      </c>
      <c r="H15" s="580" t="s">
        <v>836</v>
      </c>
      <c r="I15" s="625" t="s">
        <v>836</v>
      </c>
      <c r="J15" s="625">
        <v>3.6</v>
      </c>
      <c r="K15" s="625">
        <v>9.7200000000000006</v>
      </c>
      <c r="L15" s="540">
        <v>10.64</v>
      </c>
    </row>
    <row r="16" spans="1:16" s="47" customFormat="1" ht="10.5" customHeight="1">
      <c r="A16" s="59"/>
      <c r="B16" s="1971" t="s">
        <v>1917</v>
      </c>
      <c r="C16" s="1971"/>
      <c r="D16" s="19"/>
      <c r="E16" s="19"/>
      <c r="F16" s="19"/>
      <c r="G16" s="199"/>
      <c r="H16" s="19"/>
      <c r="I16" s="19"/>
      <c r="J16" s="199"/>
      <c r="K16" s="199"/>
      <c r="L16" s="41"/>
    </row>
    <row r="17" spans="1:12" s="47" customFormat="1" ht="10.5" customHeight="1">
      <c r="A17" s="606"/>
      <c r="B17" s="553" t="s">
        <v>875</v>
      </c>
      <c r="C17" s="552" t="s">
        <v>1299</v>
      </c>
      <c r="D17" s="580" t="s">
        <v>836</v>
      </c>
      <c r="E17" s="580">
        <v>6.64</v>
      </c>
      <c r="F17" s="580" t="s">
        <v>836</v>
      </c>
      <c r="G17" s="625" t="s">
        <v>836</v>
      </c>
      <c r="H17" s="625" t="s">
        <v>836</v>
      </c>
      <c r="I17" s="625" t="s">
        <v>836</v>
      </c>
      <c r="J17" s="625" t="s">
        <v>836</v>
      </c>
      <c r="K17" s="625" t="s">
        <v>836</v>
      </c>
      <c r="L17" s="550" t="s">
        <v>836</v>
      </c>
    </row>
    <row r="18" spans="1:12" s="47" customFormat="1" ht="10.5" customHeight="1">
      <c r="A18" s="59"/>
      <c r="B18" s="113" t="s">
        <v>1120</v>
      </c>
      <c r="C18" s="12" t="s">
        <v>256</v>
      </c>
      <c r="D18" s="19">
        <v>7.55</v>
      </c>
      <c r="E18" s="19">
        <v>6.64</v>
      </c>
      <c r="F18" s="19" t="s">
        <v>836</v>
      </c>
      <c r="G18" s="199" t="s">
        <v>1260</v>
      </c>
      <c r="H18" s="199" t="s">
        <v>836</v>
      </c>
      <c r="I18" s="199" t="s">
        <v>836</v>
      </c>
      <c r="J18" s="199" t="s">
        <v>836</v>
      </c>
      <c r="K18" s="199" t="s">
        <v>836</v>
      </c>
      <c r="L18" s="41" t="s">
        <v>836</v>
      </c>
    </row>
    <row r="19" spans="1:12" s="47" customFormat="1" ht="10.5" customHeight="1">
      <c r="A19" s="606"/>
      <c r="B19" s="553" t="s">
        <v>846</v>
      </c>
      <c r="C19" s="552" t="s">
        <v>257</v>
      </c>
      <c r="D19" s="580">
        <v>8.34</v>
      </c>
      <c r="E19" s="580">
        <v>6.64</v>
      </c>
      <c r="F19" s="580" t="s">
        <v>836</v>
      </c>
      <c r="G19" s="625" t="s">
        <v>836</v>
      </c>
      <c r="H19" s="625" t="s">
        <v>836</v>
      </c>
      <c r="I19" s="625" t="s">
        <v>836</v>
      </c>
      <c r="J19" s="625" t="s">
        <v>836</v>
      </c>
      <c r="K19" s="625" t="s">
        <v>836</v>
      </c>
      <c r="L19" s="550" t="s">
        <v>836</v>
      </c>
    </row>
    <row r="20" spans="1:12" s="47" customFormat="1" ht="10.5" customHeight="1">
      <c r="A20" s="59"/>
      <c r="B20" s="110" t="s">
        <v>965</v>
      </c>
      <c r="C20" s="110" t="s">
        <v>966</v>
      </c>
      <c r="D20" s="19"/>
      <c r="E20" s="19"/>
      <c r="F20" s="19"/>
      <c r="G20" s="199"/>
      <c r="H20" s="10"/>
      <c r="I20" s="10"/>
      <c r="J20" s="199"/>
      <c r="K20" s="199"/>
      <c r="L20" s="41"/>
    </row>
    <row r="21" spans="1:12" s="47" customFormat="1" ht="10.5" customHeight="1">
      <c r="A21" s="606"/>
      <c r="B21" s="553" t="s">
        <v>875</v>
      </c>
      <c r="C21" s="552" t="s">
        <v>258</v>
      </c>
      <c r="D21" s="580" t="s">
        <v>836</v>
      </c>
      <c r="E21" s="580">
        <v>6.64</v>
      </c>
      <c r="F21" s="580">
        <v>9.5</v>
      </c>
      <c r="G21" s="625" t="s">
        <v>836</v>
      </c>
      <c r="H21" s="625">
        <v>8.58</v>
      </c>
      <c r="I21" s="625">
        <v>11.25</v>
      </c>
      <c r="J21" s="625" t="s">
        <v>836</v>
      </c>
      <c r="K21" s="625" t="s">
        <v>836</v>
      </c>
      <c r="L21" s="540" t="s">
        <v>836</v>
      </c>
    </row>
    <row r="22" spans="1:12" s="47" customFormat="1" ht="10.5" customHeight="1">
      <c r="A22" s="59"/>
      <c r="B22" s="113" t="s">
        <v>1120</v>
      </c>
      <c r="C22" s="12" t="s">
        <v>259</v>
      </c>
      <c r="D22" s="19" t="s">
        <v>836</v>
      </c>
      <c r="E22" s="19">
        <v>6.64</v>
      </c>
      <c r="F22" s="19" t="s">
        <v>836</v>
      </c>
      <c r="G22" s="199" t="s">
        <v>836</v>
      </c>
      <c r="H22" s="199">
        <v>8.66</v>
      </c>
      <c r="I22" s="199">
        <v>11</v>
      </c>
      <c r="J22" s="199" t="s">
        <v>836</v>
      </c>
      <c r="K22" s="199" t="s">
        <v>836</v>
      </c>
      <c r="L22" s="39">
        <v>13</v>
      </c>
    </row>
    <row r="23" spans="1:12" s="47" customFormat="1" ht="10.5" customHeight="1">
      <c r="A23" s="606"/>
      <c r="B23" s="552" t="s">
        <v>967</v>
      </c>
      <c r="C23" s="581" t="s">
        <v>968</v>
      </c>
      <c r="D23" s="580"/>
      <c r="E23" s="580"/>
      <c r="F23" s="580"/>
      <c r="G23" s="625"/>
      <c r="H23" s="625"/>
      <c r="I23" s="625"/>
      <c r="J23" s="625"/>
      <c r="K23" s="625"/>
      <c r="L23" s="550"/>
    </row>
    <row r="24" spans="1:12" s="47" customFormat="1" ht="10.5" customHeight="1">
      <c r="A24" s="59"/>
      <c r="B24" s="113" t="s">
        <v>957</v>
      </c>
      <c r="C24" s="110" t="s">
        <v>956</v>
      </c>
      <c r="D24" s="19" t="s">
        <v>836</v>
      </c>
      <c r="E24" s="19">
        <v>6.64</v>
      </c>
      <c r="F24" s="19">
        <v>9.5</v>
      </c>
      <c r="G24" s="199" t="s">
        <v>836</v>
      </c>
      <c r="H24" s="199">
        <v>8.74</v>
      </c>
      <c r="I24" s="199">
        <v>11</v>
      </c>
      <c r="J24" s="199" t="s">
        <v>836</v>
      </c>
      <c r="K24" s="199">
        <v>10.25</v>
      </c>
      <c r="L24" s="39" t="s">
        <v>836</v>
      </c>
    </row>
    <row r="25" spans="1:12" s="47" customFormat="1" ht="10.5" customHeight="1">
      <c r="A25" s="606"/>
      <c r="B25" s="553" t="s">
        <v>958</v>
      </c>
      <c r="C25" s="581" t="s">
        <v>959</v>
      </c>
      <c r="D25" s="580" t="s">
        <v>836</v>
      </c>
      <c r="E25" s="580">
        <v>6.64</v>
      </c>
      <c r="F25" s="580">
        <v>9.5</v>
      </c>
      <c r="G25" s="625" t="s">
        <v>836</v>
      </c>
      <c r="H25" s="625">
        <v>8.83</v>
      </c>
      <c r="I25" s="625" t="s">
        <v>836</v>
      </c>
      <c r="J25" s="625" t="s">
        <v>836</v>
      </c>
      <c r="K25" s="625">
        <v>10.33</v>
      </c>
      <c r="L25" s="550" t="s">
        <v>836</v>
      </c>
    </row>
    <row r="26" spans="1:12" s="47" customFormat="1" ht="10.5" customHeight="1">
      <c r="A26" s="59"/>
      <c r="B26" s="113" t="s">
        <v>843</v>
      </c>
      <c r="C26" s="110" t="s">
        <v>960</v>
      </c>
      <c r="D26" s="19" t="s">
        <v>836</v>
      </c>
      <c r="E26" s="19">
        <v>6.64</v>
      </c>
      <c r="F26" s="19" t="s">
        <v>836</v>
      </c>
      <c r="G26" s="199" t="s">
        <v>836</v>
      </c>
      <c r="H26" s="199">
        <v>8.91</v>
      </c>
      <c r="I26" s="199" t="s">
        <v>836</v>
      </c>
      <c r="J26" s="199" t="s">
        <v>836</v>
      </c>
      <c r="K26" s="199" t="s">
        <v>836</v>
      </c>
      <c r="L26" s="41" t="s">
        <v>836</v>
      </c>
    </row>
    <row r="27" spans="1:12" s="47" customFormat="1" ht="10.5" customHeight="1">
      <c r="A27" s="606"/>
      <c r="B27" s="553" t="s">
        <v>844</v>
      </c>
      <c r="C27" s="581" t="s">
        <v>961</v>
      </c>
      <c r="D27" s="580" t="s">
        <v>836</v>
      </c>
      <c r="E27" s="580" t="s">
        <v>836</v>
      </c>
      <c r="F27" s="580" t="s">
        <v>836</v>
      </c>
      <c r="G27" s="625" t="s">
        <v>836</v>
      </c>
      <c r="H27" s="625">
        <v>9.07</v>
      </c>
      <c r="I27" s="625" t="s">
        <v>836</v>
      </c>
      <c r="J27" s="625" t="s">
        <v>836</v>
      </c>
      <c r="K27" s="625" t="s">
        <v>836</v>
      </c>
      <c r="L27" s="550" t="s">
        <v>836</v>
      </c>
    </row>
    <row r="28" spans="1:12" s="47" customFormat="1" ht="10.5" customHeight="1">
      <c r="A28" s="59"/>
      <c r="B28" s="12" t="s">
        <v>954</v>
      </c>
      <c r="C28" s="23" t="s">
        <v>955</v>
      </c>
      <c r="D28" s="19"/>
      <c r="E28" s="19"/>
      <c r="F28" s="19"/>
      <c r="G28" s="199"/>
      <c r="H28" s="199"/>
      <c r="I28" s="199"/>
      <c r="J28" s="19"/>
      <c r="K28" s="19"/>
      <c r="L28" s="41"/>
    </row>
    <row r="29" spans="1:12" s="420" customFormat="1" ht="10.5" customHeight="1">
      <c r="A29" s="606"/>
      <c r="B29" s="553" t="s">
        <v>957</v>
      </c>
      <c r="C29" s="581" t="s">
        <v>256</v>
      </c>
      <c r="D29" s="580">
        <v>7.42</v>
      </c>
      <c r="E29" s="580">
        <v>6.64</v>
      </c>
      <c r="F29" s="580">
        <v>9.5</v>
      </c>
      <c r="G29" s="625" t="s">
        <v>836</v>
      </c>
      <c r="H29" s="625">
        <v>8.5</v>
      </c>
      <c r="I29" s="625">
        <v>11</v>
      </c>
      <c r="J29" s="580" t="s">
        <v>836</v>
      </c>
      <c r="K29" s="580">
        <v>10.02</v>
      </c>
      <c r="L29" s="540" t="s">
        <v>836</v>
      </c>
    </row>
    <row r="30" spans="1:12" s="420" customFormat="1" ht="10.5" customHeight="1">
      <c r="A30" s="479"/>
      <c r="B30" s="451" t="s">
        <v>842</v>
      </c>
      <c r="C30" s="470" t="s">
        <v>257</v>
      </c>
      <c r="D30" s="20" t="s">
        <v>836</v>
      </c>
      <c r="E30" s="20">
        <v>6.64</v>
      </c>
      <c r="F30" s="20" t="s">
        <v>836</v>
      </c>
      <c r="G30" s="656" t="s">
        <v>836</v>
      </c>
      <c r="H30" s="656">
        <v>8.66</v>
      </c>
      <c r="I30" s="656" t="s">
        <v>836</v>
      </c>
      <c r="J30" s="20" t="s">
        <v>836</v>
      </c>
      <c r="K30" s="20">
        <v>9.7899999999999991</v>
      </c>
      <c r="L30" s="806" t="s">
        <v>836</v>
      </c>
    </row>
    <row r="31" spans="1:12" s="420" customFormat="1" ht="10.5" customHeight="1">
      <c r="A31" s="606"/>
      <c r="B31" s="553" t="s">
        <v>843</v>
      </c>
      <c r="C31" s="581" t="s">
        <v>962</v>
      </c>
      <c r="D31" s="580">
        <v>8.44</v>
      </c>
      <c r="E31" s="580">
        <v>6.64</v>
      </c>
      <c r="F31" s="580">
        <v>9.5</v>
      </c>
      <c r="G31" s="625" t="s">
        <v>836</v>
      </c>
      <c r="H31" s="625">
        <v>8.58</v>
      </c>
      <c r="I31" s="625" t="s">
        <v>836</v>
      </c>
      <c r="J31" s="580" t="s">
        <v>836</v>
      </c>
      <c r="K31" s="580">
        <v>9.7899999999999991</v>
      </c>
      <c r="L31" s="540">
        <v>10.65</v>
      </c>
    </row>
    <row r="32" spans="1:12" s="420" customFormat="1" ht="10.5" customHeight="1">
      <c r="A32" s="479"/>
      <c r="B32" s="451" t="s">
        <v>844</v>
      </c>
      <c r="C32" s="470" t="s">
        <v>956</v>
      </c>
      <c r="D32" s="20" t="s">
        <v>836</v>
      </c>
      <c r="E32" s="20">
        <v>6.64</v>
      </c>
      <c r="F32" s="20" t="s">
        <v>836</v>
      </c>
      <c r="G32" s="656" t="s">
        <v>836</v>
      </c>
      <c r="H32" s="656" t="s">
        <v>836</v>
      </c>
      <c r="I32" s="656" t="s">
        <v>836</v>
      </c>
      <c r="J32" s="20" t="s">
        <v>836</v>
      </c>
      <c r="K32" s="20">
        <v>9.7200000000000006</v>
      </c>
      <c r="L32" s="806" t="s">
        <v>836</v>
      </c>
    </row>
    <row r="33" spans="1:12" s="420" customFormat="1" ht="10.5" customHeight="1">
      <c r="A33" s="606"/>
      <c r="B33" s="624" t="s">
        <v>964</v>
      </c>
      <c r="C33" s="581" t="s">
        <v>1623</v>
      </c>
      <c r="D33" s="580" t="s">
        <v>836</v>
      </c>
      <c r="E33" s="580" t="s">
        <v>836</v>
      </c>
      <c r="F33" s="580">
        <v>9.5</v>
      </c>
      <c r="G33" s="580" t="s">
        <v>836</v>
      </c>
      <c r="H33" s="580" t="s">
        <v>836</v>
      </c>
      <c r="I33" s="625" t="s">
        <v>836</v>
      </c>
      <c r="J33" s="580" t="s">
        <v>836</v>
      </c>
      <c r="K33" s="580">
        <v>8.7200000000000006</v>
      </c>
      <c r="L33" s="550" t="s">
        <v>836</v>
      </c>
    </row>
    <row r="34" spans="1:12" s="420" customFormat="1" ht="10.5" customHeight="1">
      <c r="A34" s="479"/>
      <c r="B34" s="449" t="s">
        <v>875</v>
      </c>
      <c r="C34" s="449" t="s">
        <v>260</v>
      </c>
      <c r="D34" s="20" t="s">
        <v>836</v>
      </c>
      <c r="E34" s="20" t="s">
        <v>836</v>
      </c>
      <c r="F34" s="20" t="s">
        <v>836</v>
      </c>
      <c r="G34" s="20" t="s">
        <v>836</v>
      </c>
      <c r="H34" s="20" t="s">
        <v>836</v>
      </c>
      <c r="I34" s="20" t="s">
        <v>836</v>
      </c>
      <c r="J34" s="20" t="s">
        <v>836</v>
      </c>
      <c r="K34" s="20" t="s">
        <v>836</v>
      </c>
      <c r="L34" s="327" t="s">
        <v>836</v>
      </c>
    </row>
    <row r="35" spans="1:12" s="420" customFormat="1" ht="10.5" customHeight="1">
      <c r="A35" s="606"/>
      <c r="B35" s="552" t="s">
        <v>876</v>
      </c>
      <c r="C35" s="552" t="s">
        <v>261</v>
      </c>
      <c r="D35" s="580" t="s">
        <v>836</v>
      </c>
      <c r="E35" s="580" t="s">
        <v>836</v>
      </c>
      <c r="F35" s="580" t="s">
        <v>836</v>
      </c>
      <c r="G35" s="580" t="s">
        <v>836</v>
      </c>
      <c r="H35" s="580" t="s">
        <v>836</v>
      </c>
      <c r="I35" s="580" t="s">
        <v>836</v>
      </c>
      <c r="J35" s="580" t="s">
        <v>836</v>
      </c>
      <c r="K35" s="580" t="s">
        <v>836</v>
      </c>
      <c r="L35" s="550" t="s">
        <v>836</v>
      </c>
    </row>
    <row r="36" spans="1:12" s="420" customFormat="1" ht="10.5" customHeight="1">
      <c r="A36" s="479"/>
      <c r="B36" s="449" t="s">
        <v>877</v>
      </c>
      <c r="C36" s="449" t="s">
        <v>262</v>
      </c>
      <c r="D36" s="20" t="s">
        <v>836</v>
      </c>
      <c r="E36" s="20" t="s">
        <v>836</v>
      </c>
      <c r="F36" s="20" t="s">
        <v>836</v>
      </c>
      <c r="G36" s="20" t="s">
        <v>836</v>
      </c>
      <c r="H36" s="20" t="s">
        <v>836</v>
      </c>
      <c r="I36" s="20" t="s">
        <v>836</v>
      </c>
      <c r="J36" s="20" t="s">
        <v>836</v>
      </c>
      <c r="K36" s="20">
        <v>8.9499999999999993</v>
      </c>
      <c r="L36" s="327" t="s">
        <v>836</v>
      </c>
    </row>
    <row r="37" spans="1:12" s="420" customFormat="1" ht="10.5" customHeight="1">
      <c r="A37" s="606"/>
      <c r="B37" s="552" t="s">
        <v>878</v>
      </c>
      <c r="C37" s="552" t="s">
        <v>263</v>
      </c>
      <c r="D37" s="580" t="s">
        <v>836</v>
      </c>
      <c r="E37" s="580" t="s">
        <v>836</v>
      </c>
      <c r="F37" s="580" t="s">
        <v>836</v>
      </c>
      <c r="G37" s="580" t="s">
        <v>836</v>
      </c>
      <c r="H37" s="580" t="s">
        <v>836</v>
      </c>
      <c r="I37" s="580" t="s">
        <v>836</v>
      </c>
      <c r="J37" s="580" t="s">
        <v>836</v>
      </c>
      <c r="K37" s="580" t="s">
        <v>836</v>
      </c>
      <c r="L37" s="550" t="s">
        <v>836</v>
      </c>
    </row>
    <row r="38" spans="1:12" s="420" customFormat="1" ht="10.5" customHeight="1">
      <c r="A38" s="479"/>
      <c r="B38" s="449" t="s">
        <v>879</v>
      </c>
      <c r="C38" s="449" t="s">
        <v>264</v>
      </c>
      <c r="D38" s="20" t="s">
        <v>836</v>
      </c>
      <c r="E38" s="20">
        <v>6.64</v>
      </c>
      <c r="F38" s="20">
        <v>9.5</v>
      </c>
      <c r="G38" s="20" t="s">
        <v>836</v>
      </c>
      <c r="H38" s="20" t="s">
        <v>836</v>
      </c>
      <c r="I38" s="20" t="s">
        <v>836</v>
      </c>
      <c r="J38" s="20" t="s">
        <v>836</v>
      </c>
      <c r="K38" s="20">
        <v>10.48</v>
      </c>
      <c r="L38" s="327" t="s">
        <v>836</v>
      </c>
    </row>
    <row r="39" spans="1:12" s="420" customFormat="1" ht="10.5" customHeight="1">
      <c r="A39" s="606"/>
      <c r="B39" s="552" t="s">
        <v>880</v>
      </c>
      <c r="C39" s="552" t="s">
        <v>265</v>
      </c>
      <c r="D39" s="580" t="s">
        <v>836</v>
      </c>
      <c r="E39" s="580" t="s">
        <v>836</v>
      </c>
      <c r="F39" s="580" t="s">
        <v>836</v>
      </c>
      <c r="G39" s="580">
        <v>10</v>
      </c>
      <c r="H39" s="580" t="s">
        <v>836</v>
      </c>
      <c r="I39" s="580" t="s">
        <v>836</v>
      </c>
      <c r="J39" s="580" t="s">
        <v>836</v>
      </c>
      <c r="K39" s="580" t="s">
        <v>836</v>
      </c>
      <c r="L39" s="550" t="s">
        <v>836</v>
      </c>
    </row>
    <row r="40" spans="1:12" s="420" customFormat="1" ht="10.5" customHeight="1">
      <c r="A40" s="479"/>
      <c r="B40" s="449" t="s">
        <v>881</v>
      </c>
      <c r="C40" s="449" t="s">
        <v>266</v>
      </c>
      <c r="D40" s="20" t="s">
        <v>836</v>
      </c>
      <c r="E40" s="20" t="s">
        <v>836</v>
      </c>
      <c r="F40" s="20">
        <v>9.5</v>
      </c>
      <c r="G40" s="20">
        <v>10</v>
      </c>
      <c r="H40" s="20">
        <v>6.6</v>
      </c>
      <c r="I40" s="20" t="s">
        <v>836</v>
      </c>
      <c r="J40" s="20" t="s">
        <v>836</v>
      </c>
      <c r="K40" s="20" t="s">
        <v>836</v>
      </c>
      <c r="L40" s="327" t="s">
        <v>836</v>
      </c>
    </row>
    <row r="41" spans="1:12" s="420" customFormat="1" ht="10.5" customHeight="1">
      <c r="A41" s="606"/>
      <c r="B41" s="552" t="s">
        <v>882</v>
      </c>
      <c r="C41" s="552" t="s">
        <v>267</v>
      </c>
      <c r="D41" s="580" t="s">
        <v>836</v>
      </c>
      <c r="E41" s="580" t="s">
        <v>836</v>
      </c>
      <c r="F41" s="580">
        <v>7</v>
      </c>
      <c r="G41" s="580">
        <v>10</v>
      </c>
      <c r="H41" s="580" t="s">
        <v>836</v>
      </c>
      <c r="I41" s="580" t="s">
        <v>836</v>
      </c>
      <c r="J41" s="580">
        <v>5</v>
      </c>
      <c r="K41" s="580" t="s">
        <v>836</v>
      </c>
      <c r="L41" s="550" t="s">
        <v>836</v>
      </c>
    </row>
    <row r="42" spans="1:12" s="420" customFormat="1" ht="10.5" customHeight="1">
      <c r="A42" s="479"/>
      <c r="B42" s="449" t="s">
        <v>1098</v>
      </c>
      <c r="C42" s="449" t="s">
        <v>1099</v>
      </c>
      <c r="D42" s="20">
        <v>8.44</v>
      </c>
      <c r="E42" s="20"/>
      <c r="F42" s="20">
        <v>9.5</v>
      </c>
      <c r="G42" s="20" t="s">
        <v>836</v>
      </c>
      <c r="H42" s="20" t="s">
        <v>836</v>
      </c>
      <c r="I42" s="20">
        <v>11</v>
      </c>
      <c r="J42" s="20" t="s">
        <v>836</v>
      </c>
      <c r="K42" s="20" t="s">
        <v>836</v>
      </c>
      <c r="L42" s="327" t="s">
        <v>836</v>
      </c>
    </row>
    <row r="43" spans="1:12" s="420" customFormat="1" ht="10.5" customHeight="1">
      <c r="A43" s="606"/>
      <c r="B43" s="552" t="s">
        <v>1100</v>
      </c>
      <c r="C43" s="552" t="s">
        <v>1102</v>
      </c>
      <c r="D43" s="580">
        <v>7.42</v>
      </c>
      <c r="E43" s="580" t="s">
        <v>836</v>
      </c>
      <c r="F43" s="580">
        <v>9.5</v>
      </c>
      <c r="G43" s="580" t="s">
        <v>836</v>
      </c>
      <c r="H43" s="580" t="s">
        <v>836</v>
      </c>
      <c r="I43" s="580">
        <v>11</v>
      </c>
      <c r="J43" s="580" t="s">
        <v>836</v>
      </c>
      <c r="K43" s="580" t="s">
        <v>836</v>
      </c>
      <c r="L43" s="550" t="s">
        <v>836</v>
      </c>
    </row>
    <row r="44" spans="1:12" s="420" customFormat="1" ht="10.5" customHeight="1">
      <c r="A44" s="479"/>
      <c r="B44" s="807" t="s">
        <v>1103</v>
      </c>
      <c r="C44" s="465" t="s">
        <v>1624</v>
      </c>
      <c r="D44" s="656">
        <v>8.5399999999999991</v>
      </c>
      <c r="E44" s="656">
        <v>6.64</v>
      </c>
      <c r="F44" s="656" t="s">
        <v>836</v>
      </c>
      <c r="G44" s="656" t="s">
        <v>836</v>
      </c>
      <c r="H44" s="656" t="s">
        <v>836</v>
      </c>
      <c r="I44" s="656" t="s">
        <v>836</v>
      </c>
      <c r="J44" s="656" t="s">
        <v>836</v>
      </c>
      <c r="K44" s="656">
        <v>8.8000000000000007</v>
      </c>
      <c r="L44" s="327">
        <v>10.64</v>
      </c>
    </row>
    <row r="45" spans="1:12" s="420" customFormat="1" ht="10.5" customHeight="1">
      <c r="A45" s="606"/>
      <c r="B45" s="623" t="s">
        <v>1104</v>
      </c>
      <c r="C45" s="603" t="s">
        <v>1625</v>
      </c>
      <c r="D45" s="625">
        <v>7.75</v>
      </c>
      <c r="E45" s="625" t="s">
        <v>836</v>
      </c>
      <c r="F45" s="625">
        <v>9.5</v>
      </c>
      <c r="G45" s="625" t="s">
        <v>836</v>
      </c>
      <c r="H45" s="625" t="s">
        <v>836</v>
      </c>
      <c r="I45" s="625">
        <v>11</v>
      </c>
      <c r="J45" s="625" t="s">
        <v>836</v>
      </c>
      <c r="K45" s="625">
        <v>8.8000000000000007</v>
      </c>
      <c r="L45" s="550" t="s">
        <v>836</v>
      </c>
    </row>
    <row r="46" spans="1:12" s="420" customFormat="1" ht="10.5" customHeight="1">
      <c r="A46" s="479"/>
      <c r="B46" s="655" t="s">
        <v>811</v>
      </c>
      <c r="C46" s="878" t="s">
        <v>812</v>
      </c>
      <c r="D46" s="879" t="s">
        <v>836</v>
      </c>
      <c r="E46" s="879" t="s">
        <v>836</v>
      </c>
      <c r="F46" s="879" t="s">
        <v>836</v>
      </c>
      <c r="G46" s="879" t="s">
        <v>836</v>
      </c>
      <c r="H46" s="879" t="s">
        <v>836</v>
      </c>
      <c r="I46" s="879" t="s">
        <v>836</v>
      </c>
      <c r="J46" s="879" t="s">
        <v>836</v>
      </c>
      <c r="K46" s="879" t="s">
        <v>836</v>
      </c>
      <c r="L46" s="880" t="s">
        <v>836</v>
      </c>
    </row>
    <row r="47" spans="1:12" s="492" customFormat="1" ht="10.5" customHeight="1">
      <c r="A47" s="622" t="s">
        <v>1269</v>
      </c>
      <c r="B47" s="2124" t="s">
        <v>105</v>
      </c>
      <c r="C47" s="2124"/>
      <c r="D47" s="580">
        <v>3.08</v>
      </c>
      <c r="E47" s="580">
        <v>2.41</v>
      </c>
      <c r="F47" s="580">
        <v>5</v>
      </c>
      <c r="G47" s="580">
        <v>5</v>
      </c>
      <c r="H47" s="580">
        <v>3.46</v>
      </c>
      <c r="I47" s="580">
        <v>6.5</v>
      </c>
      <c r="J47" s="580">
        <v>3.92</v>
      </c>
      <c r="K47" s="580">
        <v>4.74</v>
      </c>
      <c r="L47" s="540">
        <v>3.91</v>
      </c>
    </row>
    <row r="48" spans="1:12" s="420" customFormat="1" ht="10.5" customHeight="1">
      <c r="A48" s="808" t="s">
        <v>1270</v>
      </c>
      <c r="B48" s="2125" t="s">
        <v>106</v>
      </c>
      <c r="C48" s="2125"/>
      <c r="D48" s="20" t="s">
        <v>836</v>
      </c>
      <c r="E48" s="20" t="s">
        <v>836</v>
      </c>
      <c r="F48" s="20" t="s">
        <v>836</v>
      </c>
      <c r="G48" s="20" t="s">
        <v>836</v>
      </c>
      <c r="H48" s="20" t="s">
        <v>836</v>
      </c>
      <c r="I48" s="20" t="s">
        <v>836</v>
      </c>
      <c r="J48" s="20" t="s">
        <v>836</v>
      </c>
      <c r="K48" s="20" t="s">
        <v>836</v>
      </c>
      <c r="L48" s="327" t="s">
        <v>836</v>
      </c>
    </row>
    <row r="49" spans="1:12" s="420" customFormat="1" ht="10.5" customHeight="1">
      <c r="A49" s="606"/>
      <c r="B49" s="552" t="s">
        <v>1298</v>
      </c>
      <c r="C49" s="552" t="s">
        <v>572</v>
      </c>
      <c r="D49" s="580"/>
      <c r="E49" s="580"/>
      <c r="F49" s="625"/>
      <c r="G49" s="580"/>
      <c r="H49" s="580"/>
      <c r="I49" s="580"/>
      <c r="J49" s="580"/>
      <c r="K49" s="580"/>
      <c r="L49" s="550"/>
    </row>
    <row r="50" spans="1:12" s="420" customFormat="1" ht="10.5" customHeight="1">
      <c r="A50" s="479"/>
      <c r="B50" s="449"/>
      <c r="C50" s="449" t="s">
        <v>971</v>
      </c>
      <c r="D50" s="20">
        <v>8.43</v>
      </c>
      <c r="E50" s="20">
        <v>6.64</v>
      </c>
      <c r="F50" s="656" t="s">
        <v>836</v>
      </c>
      <c r="G50" s="20">
        <v>10</v>
      </c>
      <c r="H50" s="20">
        <v>8.74</v>
      </c>
      <c r="I50" s="20" t="s">
        <v>836</v>
      </c>
      <c r="J50" s="20" t="s">
        <v>836</v>
      </c>
      <c r="K50" s="20" t="s">
        <v>836</v>
      </c>
      <c r="L50" s="327">
        <v>11.64</v>
      </c>
    </row>
    <row r="51" spans="1:12" s="420" customFormat="1" ht="10.5" customHeight="1">
      <c r="A51" s="606"/>
      <c r="B51" s="552"/>
      <c r="C51" s="552" t="s">
        <v>969</v>
      </c>
      <c r="D51" s="580">
        <v>8.83</v>
      </c>
      <c r="E51" s="580">
        <v>6.64</v>
      </c>
      <c r="F51" s="625" t="s">
        <v>836</v>
      </c>
      <c r="G51" s="580">
        <v>10</v>
      </c>
      <c r="H51" s="580">
        <v>8.74</v>
      </c>
      <c r="I51" s="580" t="s">
        <v>836</v>
      </c>
      <c r="J51" s="580" t="s">
        <v>836</v>
      </c>
      <c r="K51" s="580" t="s">
        <v>836</v>
      </c>
      <c r="L51" s="550" t="s">
        <v>836</v>
      </c>
    </row>
    <row r="52" spans="1:12" s="420" customFormat="1" ht="10.5" customHeight="1">
      <c r="A52" s="479"/>
      <c r="B52" s="449"/>
      <c r="C52" s="449" t="s">
        <v>970</v>
      </c>
      <c r="D52" s="20" t="s">
        <v>836</v>
      </c>
      <c r="E52" s="20">
        <v>6.64</v>
      </c>
      <c r="F52" s="656" t="s">
        <v>836</v>
      </c>
      <c r="G52" s="20" t="s">
        <v>836</v>
      </c>
      <c r="H52" s="20" t="s">
        <v>836</v>
      </c>
      <c r="I52" s="20" t="s">
        <v>836</v>
      </c>
      <c r="J52" s="20" t="s">
        <v>836</v>
      </c>
      <c r="K52" s="20" t="s">
        <v>836</v>
      </c>
      <c r="L52" s="327" t="s">
        <v>836</v>
      </c>
    </row>
    <row r="53" spans="1:12" s="420" customFormat="1" ht="10.5" customHeight="1">
      <c r="A53" s="606"/>
      <c r="B53" s="624" t="s">
        <v>1300</v>
      </c>
      <c r="C53" s="552" t="s">
        <v>972</v>
      </c>
      <c r="D53" s="580" t="s">
        <v>836</v>
      </c>
      <c r="E53" s="580">
        <v>6.64</v>
      </c>
      <c r="F53" s="580">
        <v>9.75</v>
      </c>
      <c r="G53" s="580" t="s">
        <v>836</v>
      </c>
      <c r="H53" s="580" t="s">
        <v>836</v>
      </c>
      <c r="I53" s="580">
        <v>11</v>
      </c>
      <c r="J53" s="580" t="s">
        <v>836</v>
      </c>
      <c r="K53" s="580">
        <v>8.42</v>
      </c>
      <c r="L53" s="550" t="s">
        <v>836</v>
      </c>
    </row>
    <row r="54" spans="1:12" s="881" customFormat="1" ht="15" customHeight="1" thickBot="1">
      <c r="A54" s="876"/>
      <c r="B54" s="858" t="s">
        <v>1302</v>
      </c>
      <c r="C54" s="858" t="s">
        <v>107</v>
      </c>
      <c r="D54" s="877">
        <v>9.33</v>
      </c>
      <c r="E54" s="877">
        <v>6.64</v>
      </c>
      <c r="F54" s="877">
        <v>9.75</v>
      </c>
      <c r="G54" s="877" t="s">
        <v>836</v>
      </c>
      <c r="H54" s="877">
        <v>8.66</v>
      </c>
      <c r="I54" s="877" t="s">
        <v>836</v>
      </c>
      <c r="J54" s="877" t="s">
        <v>836</v>
      </c>
      <c r="K54" s="877">
        <v>9.11</v>
      </c>
      <c r="L54" s="848" t="s">
        <v>836</v>
      </c>
    </row>
    <row r="55" spans="1:12" s="47" customFormat="1" ht="9.75" customHeight="1">
      <c r="A55" s="2002" t="s">
        <v>596</v>
      </c>
      <c r="B55" s="2003"/>
      <c r="C55" s="2003"/>
      <c r="D55" s="2003"/>
      <c r="E55" s="176"/>
      <c r="F55" s="176"/>
      <c r="G55" s="176"/>
      <c r="H55" s="176"/>
      <c r="I55" s="176"/>
      <c r="J55" s="176"/>
      <c r="K55" s="176"/>
    </row>
    <row r="56" spans="1:12" s="10" customFormat="1" ht="9" customHeight="1">
      <c r="A56" s="11"/>
      <c r="C56" s="87" t="s">
        <v>973</v>
      </c>
      <c r="D56" s="37"/>
      <c r="E56" s="37"/>
      <c r="F56" s="37"/>
      <c r="G56" s="37"/>
      <c r="H56" s="37"/>
      <c r="I56" s="37"/>
      <c r="J56" s="37"/>
      <c r="K56" s="37"/>
    </row>
  </sheetData>
  <mergeCells count="11">
    <mergeCell ref="B16:C16"/>
    <mergeCell ref="B47:C47"/>
    <mergeCell ref="B48:C48"/>
    <mergeCell ref="A55:D55"/>
    <mergeCell ref="B1:J1"/>
    <mergeCell ref="B12:C12"/>
    <mergeCell ref="K1:L1"/>
    <mergeCell ref="J2:L2"/>
    <mergeCell ref="A3:C3"/>
    <mergeCell ref="B4:C4"/>
    <mergeCell ref="B5:C5"/>
  </mergeCells>
  <pageMargins left="0.31496062992126" right="0.31496062992126" top="0.35433070866141703" bottom="0.15748031496063" header="0" footer="0.39370078740157499"/>
  <pageSetup paperSize="512" firstPageNumber="74" orientation="portrait" useFirstPageNumber="1" r:id="rId1"/>
  <headerFooter>
    <oddFooter>&amp;C&amp;"Times New Roman,Regular"&amp;8&amp;P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1"/>
  <dimension ref="A1:AM74"/>
  <sheetViews>
    <sheetView zoomScaleNormal="100" workbookViewId="0">
      <pane xSplit="1" ySplit="5" topLeftCell="B53" activePane="bottomRight" state="frozen"/>
      <selection pane="topRight" activeCell="B1" sqref="B1"/>
      <selection pane="bottomLeft" activeCell="A6" sqref="A6"/>
      <selection pane="bottomRight" activeCell="I77" sqref="I77"/>
    </sheetView>
  </sheetViews>
  <sheetFormatPr defaultColWidth="9.140625" defaultRowHeight="11.25"/>
  <cols>
    <col min="1" max="1" width="7.7109375" style="24" customWidth="1"/>
    <col min="2" max="2" width="5.7109375" style="10" customWidth="1"/>
    <col min="3" max="3" width="6.28515625" style="10" customWidth="1"/>
    <col min="4" max="4" width="5.28515625" style="10" customWidth="1"/>
    <col min="5" max="5" width="5.5703125" style="10" customWidth="1"/>
    <col min="6" max="7" width="6" style="10" customWidth="1"/>
    <col min="8" max="8" width="5.85546875" style="10" customWidth="1"/>
    <col min="9" max="9" width="6" style="10" customWidth="1"/>
    <col min="10" max="10" width="5.5703125" style="10" customWidth="1"/>
    <col min="11" max="11" width="6" style="10" customWidth="1"/>
    <col min="12" max="12" width="7.5703125" style="10" customWidth="1"/>
    <col min="13" max="13" width="5.28515625" style="10" customWidth="1"/>
    <col min="14" max="14" width="8" style="24" customWidth="1"/>
    <col min="15" max="15" width="5.42578125" style="10" customWidth="1"/>
    <col min="16" max="16" width="6.140625" style="10" customWidth="1"/>
    <col min="17" max="17" width="5.28515625" style="10" customWidth="1"/>
    <col min="18" max="18" width="5.7109375" style="10" customWidth="1"/>
    <col min="19" max="19" width="6.140625" style="10" customWidth="1"/>
    <col min="20" max="20" width="5.5703125" style="10" customWidth="1"/>
    <col min="21" max="21" width="5.42578125" style="10" customWidth="1"/>
    <col min="22" max="22" width="6.5703125" style="10" customWidth="1"/>
    <col min="23" max="23" width="5.85546875" style="10" customWidth="1"/>
    <col min="24" max="24" width="6" style="10" customWidth="1"/>
    <col min="25" max="25" width="6.42578125" style="10" customWidth="1"/>
    <col min="26" max="26" width="6" style="10" customWidth="1"/>
    <col min="27" max="27" width="7.85546875" style="24" customWidth="1"/>
    <col min="28" max="29" width="6" style="10" customWidth="1"/>
    <col min="30" max="30" width="5.7109375" style="10" customWidth="1"/>
    <col min="31" max="31" width="5.85546875" style="10" customWidth="1"/>
    <col min="32" max="32" width="6.42578125" style="10" customWidth="1"/>
    <col min="33" max="33" width="5.42578125" style="10" customWidth="1"/>
    <col min="34" max="34" width="5.85546875" style="10" customWidth="1"/>
    <col min="35" max="35" width="6.28515625" style="10" customWidth="1"/>
    <col min="36" max="36" width="5.85546875" style="10" customWidth="1"/>
    <col min="37" max="37" width="5.5703125" style="10" customWidth="1"/>
    <col min="38" max="39" width="6" style="10" customWidth="1"/>
    <col min="40" max="16384" width="9.140625" style="10"/>
  </cols>
  <sheetData>
    <row r="1" spans="1:39" s="31" customFormat="1" ht="35.25" customHeight="1">
      <c r="B1" s="2133" t="s">
        <v>122</v>
      </c>
      <c r="C1" s="2133"/>
      <c r="D1" s="2133"/>
      <c r="E1" s="2133"/>
      <c r="F1" s="2133"/>
      <c r="G1" s="2133"/>
      <c r="H1" s="2133"/>
      <c r="I1" s="2133"/>
      <c r="J1" s="32"/>
      <c r="K1" s="2132" t="s">
        <v>1280</v>
      </c>
      <c r="L1" s="2132"/>
      <c r="M1" s="2132"/>
      <c r="O1" s="2133" t="s">
        <v>33</v>
      </c>
      <c r="P1" s="2133"/>
      <c r="Q1" s="2133"/>
      <c r="R1" s="2133"/>
      <c r="S1" s="2133"/>
      <c r="T1" s="2133"/>
      <c r="U1" s="2133"/>
      <c r="V1" s="2133"/>
      <c r="W1" s="32"/>
      <c r="X1" s="2132" t="s">
        <v>1280</v>
      </c>
      <c r="Y1" s="2132"/>
      <c r="Z1" s="2132"/>
      <c r="AB1" s="2133" t="s">
        <v>34</v>
      </c>
      <c r="AC1" s="2133"/>
      <c r="AD1" s="2133"/>
      <c r="AE1" s="2133"/>
      <c r="AF1" s="2133"/>
      <c r="AG1" s="2133"/>
      <c r="AH1" s="2133"/>
      <c r="AI1" s="2133"/>
      <c r="AJ1" s="32"/>
      <c r="AK1" s="2132" t="s">
        <v>1285</v>
      </c>
      <c r="AL1" s="2132"/>
      <c r="AM1" s="2132"/>
    </row>
    <row r="2" spans="1:39" s="31" customFormat="1" ht="12" customHeight="1">
      <c r="B2" s="156"/>
      <c r="C2" s="156"/>
      <c r="D2" s="156"/>
      <c r="E2" s="156"/>
      <c r="F2" s="156"/>
      <c r="G2" s="156"/>
      <c r="H2" s="156"/>
      <c r="I2" s="156"/>
      <c r="J2" s="156"/>
      <c r="K2" s="1990" t="s">
        <v>1159</v>
      </c>
      <c r="L2" s="1990"/>
      <c r="M2" s="1990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2131" t="s">
        <v>1159</v>
      </c>
      <c r="Y2" s="2131"/>
      <c r="Z2" s="2131"/>
      <c r="AK2" s="2131" t="s">
        <v>1159</v>
      </c>
      <c r="AL2" s="2131"/>
      <c r="AM2" s="2131"/>
    </row>
    <row r="3" spans="1:39" ht="12.75" customHeight="1">
      <c r="A3" s="1960" t="s">
        <v>1132</v>
      </c>
      <c r="B3" s="1994" t="s">
        <v>1160</v>
      </c>
      <c r="C3" s="1997"/>
      <c r="D3" s="1997"/>
      <c r="E3" s="1997"/>
      <c r="F3" s="1997"/>
      <c r="G3" s="1997"/>
      <c r="H3" s="1997"/>
      <c r="I3" s="1997"/>
      <c r="J3" s="1997"/>
      <c r="K3" s="1997"/>
      <c r="L3" s="1997"/>
      <c r="M3" s="1995"/>
      <c r="N3" s="1960" t="s">
        <v>1132</v>
      </c>
      <c r="O3" s="1994" t="s">
        <v>1160</v>
      </c>
      <c r="P3" s="1997"/>
      <c r="Q3" s="1997"/>
      <c r="R3" s="1997"/>
      <c r="S3" s="1997"/>
      <c r="T3" s="1997"/>
      <c r="U3" s="1997"/>
      <c r="V3" s="1997"/>
      <c r="W3" s="1997"/>
      <c r="X3" s="1997"/>
      <c r="Y3" s="1997"/>
      <c r="Z3" s="1995"/>
      <c r="AA3" s="1960" t="s">
        <v>1132</v>
      </c>
      <c r="AB3" s="1994" t="s">
        <v>1160</v>
      </c>
      <c r="AC3" s="1997"/>
      <c r="AD3" s="1997"/>
      <c r="AE3" s="1997"/>
      <c r="AF3" s="1997"/>
      <c r="AG3" s="1997"/>
      <c r="AH3" s="1997"/>
      <c r="AI3" s="1997"/>
      <c r="AJ3" s="1997"/>
      <c r="AK3" s="1997"/>
      <c r="AL3" s="1997"/>
      <c r="AM3" s="1995"/>
    </row>
    <row r="4" spans="1:39" s="25" customFormat="1" ht="12.75" customHeight="1">
      <c r="A4" s="1960"/>
      <c r="B4" s="2128" t="s">
        <v>199</v>
      </c>
      <c r="C4" s="2128"/>
      <c r="D4" s="1964"/>
      <c r="E4" s="1963" t="s">
        <v>1306</v>
      </c>
      <c r="F4" s="2128"/>
      <c r="G4" s="1964"/>
      <c r="H4" s="1963" t="s">
        <v>1304</v>
      </c>
      <c r="I4" s="2128"/>
      <c r="J4" s="1964"/>
      <c r="K4" s="1963" t="s">
        <v>200</v>
      </c>
      <c r="L4" s="2128"/>
      <c r="M4" s="1964"/>
      <c r="N4" s="1960"/>
      <c r="O4" s="1963" t="s">
        <v>199</v>
      </c>
      <c r="P4" s="2128"/>
      <c r="Q4" s="1964"/>
      <c r="R4" s="1963" t="s">
        <v>1306</v>
      </c>
      <c r="S4" s="2128"/>
      <c r="T4" s="1964"/>
      <c r="U4" s="1963" t="s">
        <v>1304</v>
      </c>
      <c r="V4" s="2128"/>
      <c r="W4" s="1964"/>
      <c r="X4" s="1963" t="s">
        <v>200</v>
      </c>
      <c r="Y4" s="2128"/>
      <c r="Z4" s="1964"/>
      <c r="AA4" s="1960"/>
      <c r="AB4" s="1963" t="s">
        <v>199</v>
      </c>
      <c r="AC4" s="2128"/>
      <c r="AD4" s="1964"/>
      <c r="AE4" s="1963" t="s">
        <v>1306</v>
      </c>
      <c r="AF4" s="2128"/>
      <c r="AG4" s="1964"/>
      <c r="AH4" s="1963" t="s">
        <v>1304</v>
      </c>
      <c r="AI4" s="2128"/>
      <c r="AJ4" s="1964"/>
      <c r="AK4" s="1963" t="s">
        <v>200</v>
      </c>
      <c r="AL4" s="2128"/>
      <c r="AM4" s="1964"/>
    </row>
    <row r="5" spans="1:39" s="25" customFormat="1" ht="22.5" customHeight="1">
      <c r="A5" s="1960"/>
      <c r="B5" s="194" t="s">
        <v>1186</v>
      </c>
      <c r="C5" s="196" t="s">
        <v>201</v>
      </c>
      <c r="D5" s="197" t="s">
        <v>1325</v>
      </c>
      <c r="E5" s="194" t="s">
        <v>1186</v>
      </c>
      <c r="F5" s="45" t="s">
        <v>201</v>
      </c>
      <c r="G5" s="197" t="s">
        <v>1325</v>
      </c>
      <c r="H5" s="194" t="s">
        <v>1186</v>
      </c>
      <c r="I5" s="45" t="s">
        <v>201</v>
      </c>
      <c r="J5" s="197" t="s">
        <v>1325</v>
      </c>
      <c r="K5" s="194" t="s">
        <v>1186</v>
      </c>
      <c r="L5" s="45" t="s">
        <v>201</v>
      </c>
      <c r="M5" s="197" t="s">
        <v>1325</v>
      </c>
      <c r="N5" s="1960"/>
      <c r="O5" s="194" t="s">
        <v>1186</v>
      </c>
      <c r="P5" s="45" t="s">
        <v>201</v>
      </c>
      <c r="Q5" s="197" t="s">
        <v>1325</v>
      </c>
      <c r="R5" s="194" t="s">
        <v>1186</v>
      </c>
      <c r="S5" s="45" t="s">
        <v>201</v>
      </c>
      <c r="T5" s="197" t="s">
        <v>1325</v>
      </c>
      <c r="U5" s="194" t="s">
        <v>1186</v>
      </c>
      <c r="V5" s="45" t="s">
        <v>201</v>
      </c>
      <c r="W5" s="197" t="s">
        <v>1325</v>
      </c>
      <c r="X5" s="194" t="s">
        <v>1186</v>
      </c>
      <c r="Y5" s="45" t="s">
        <v>201</v>
      </c>
      <c r="Z5" s="197" t="s">
        <v>1325</v>
      </c>
      <c r="AA5" s="1960"/>
      <c r="AB5" s="194" t="s">
        <v>1186</v>
      </c>
      <c r="AC5" s="45" t="s">
        <v>201</v>
      </c>
      <c r="AD5" s="197" t="s">
        <v>1325</v>
      </c>
      <c r="AE5" s="194" t="s">
        <v>1186</v>
      </c>
      <c r="AF5" s="45" t="s">
        <v>201</v>
      </c>
      <c r="AG5" s="197" t="s">
        <v>1325</v>
      </c>
      <c r="AH5" s="194" t="s">
        <v>1186</v>
      </c>
      <c r="AI5" s="45" t="s">
        <v>201</v>
      </c>
      <c r="AJ5" s="197" t="s">
        <v>1325</v>
      </c>
      <c r="AK5" s="194" t="s">
        <v>1186</v>
      </c>
      <c r="AL5" s="45" t="s">
        <v>201</v>
      </c>
      <c r="AM5" s="197" t="s">
        <v>1325</v>
      </c>
    </row>
    <row r="6" spans="1:39" ht="10.5" hidden="1" customHeight="1">
      <c r="A6" s="624" t="s">
        <v>154</v>
      </c>
      <c r="B6" s="625">
        <v>4.4000000000000004</v>
      </c>
      <c r="C6" s="625">
        <v>5.72</v>
      </c>
      <c r="D6" s="537" t="s">
        <v>836</v>
      </c>
      <c r="E6" s="625">
        <v>4.45</v>
      </c>
      <c r="F6" s="625">
        <v>5.74</v>
      </c>
      <c r="G6" s="537" t="s">
        <v>836</v>
      </c>
      <c r="H6" s="625">
        <v>4.51</v>
      </c>
      <c r="I6" s="625">
        <v>5.84</v>
      </c>
      <c r="J6" s="537" t="s">
        <v>836</v>
      </c>
      <c r="K6" s="625">
        <v>4.68</v>
      </c>
      <c r="L6" s="625">
        <v>6.01</v>
      </c>
      <c r="M6" s="537" t="s">
        <v>836</v>
      </c>
      <c r="N6" s="626" t="s">
        <v>154</v>
      </c>
      <c r="O6" s="625">
        <v>4.67</v>
      </c>
      <c r="P6" s="625">
        <v>5.62</v>
      </c>
      <c r="Q6" s="537" t="s">
        <v>836</v>
      </c>
      <c r="R6" s="625">
        <v>4.75</v>
      </c>
      <c r="S6" s="625">
        <v>5.73</v>
      </c>
      <c r="T6" s="537" t="s">
        <v>836</v>
      </c>
      <c r="U6" s="625">
        <v>4.9400000000000004</v>
      </c>
      <c r="V6" s="625">
        <v>5.79</v>
      </c>
      <c r="W6" s="537" t="s">
        <v>836</v>
      </c>
      <c r="X6" s="625">
        <v>5.12</v>
      </c>
      <c r="Y6" s="625">
        <v>5.93</v>
      </c>
      <c r="Z6" s="537" t="s">
        <v>836</v>
      </c>
      <c r="AA6" s="624" t="s">
        <v>154</v>
      </c>
      <c r="AB6" s="625">
        <v>3.89</v>
      </c>
      <c r="AC6" s="625">
        <v>3.8</v>
      </c>
      <c r="AD6" s="537" t="s">
        <v>836</v>
      </c>
      <c r="AE6" s="625">
        <v>3.73</v>
      </c>
      <c r="AF6" s="625">
        <v>4.25</v>
      </c>
      <c r="AG6" s="537" t="s">
        <v>836</v>
      </c>
      <c r="AH6" s="625">
        <v>3.71</v>
      </c>
      <c r="AI6" s="625">
        <v>4.25</v>
      </c>
      <c r="AJ6" s="537" t="s">
        <v>836</v>
      </c>
      <c r="AK6" s="625">
        <v>3.78</v>
      </c>
      <c r="AL6" s="625">
        <v>4.25</v>
      </c>
      <c r="AM6" s="537" t="s">
        <v>836</v>
      </c>
    </row>
    <row r="7" spans="1:39" ht="10.5" hidden="1" customHeight="1">
      <c r="A7" s="198" t="s">
        <v>155</v>
      </c>
      <c r="B7" s="199">
        <v>4.2300000000000004</v>
      </c>
      <c r="C7" s="199">
        <v>5.34</v>
      </c>
      <c r="D7" s="21" t="s">
        <v>836</v>
      </c>
      <c r="E7" s="199">
        <v>4.28</v>
      </c>
      <c r="F7" s="199">
        <v>5.44</v>
      </c>
      <c r="G7" s="21" t="s">
        <v>836</v>
      </c>
      <c r="H7" s="199">
        <v>4.3600000000000003</v>
      </c>
      <c r="I7" s="199">
        <v>5.36</v>
      </c>
      <c r="J7" s="21" t="s">
        <v>836</v>
      </c>
      <c r="K7" s="199">
        <v>4.49</v>
      </c>
      <c r="L7" s="199">
        <v>5.46</v>
      </c>
      <c r="M7" s="21" t="s">
        <v>836</v>
      </c>
      <c r="N7" s="200" t="s">
        <v>155</v>
      </c>
      <c r="O7" s="199">
        <v>4.54</v>
      </c>
      <c r="P7" s="199">
        <v>5.23</v>
      </c>
      <c r="Q7" s="21" t="s">
        <v>836</v>
      </c>
      <c r="R7" s="199">
        <v>4.55</v>
      </c>
      <c r="S7" s="199">
        <v>5.17</v>
      </c>
      <c r="T7" s="21" t="s">
        <v>836</v>
      </c>
      <c r="U7" s="199">
        <v>4.6500000000000004</v>
      </c>
      <c r="V7" s="199">
        <v>5.15</v>
      </c>
      <c r="W7" s="21" t="s">
        <v>836</v>
      </c>
      <c r="X7" s="199">
        <v>4.68</v>
      </c>
      <c r="Y7" s="199">
        <v>5.19</v>
      </c>
      <c r="Z7" s="21" t="s">
        <v>836</v>
      </c>
      <c r="AA7" s="198" t="s">
        <v>155</v>
      </c>
      <c r="AB7" s="199">
        <v>3.75</v>
      </c>
      <c r="AC7" s="199">
        <v>3.82</v>
      </c>
      <c r="AD7" s="21" t="s">
        <v>836</v>
      </c>
      <c r="AE7" s="199">
        <v>3.81</v>
      </c>
      <c r="AF7" s="199">
        <v>4.17</v>
      </c>
      <c r="AG7" s="21" t="s">
        <v>836</v>
      </c>
      <c r="AH7" s="199">
        <v>3.78</v>
      </c>
      <c r="AI7" s="199">
        <v>4.29</v>
      </c>
      <c r="AJ7" s="21" t="s">
        <v>836</v>
      </c>
      <c r="AK7" s="199">
        <v>4.41</v>
      </c>
      <c r="AL7" s="199">
        <v>4.33</v>
      </c>
      <c r="AM7" s="21" t="s">
        <v>836</v>
      </c>
    </row>
    <row r="8" spans="1:39" ht="10.5" hidden="1" customHeight="1">
      <c r="A8" s="624" t="s">
        <v>156</v>
      </c>
      <c r="B8" s="625">
        <v>4.97</v>
      </c>
      <c r="C8" s="625">
        <v>4.93</v>
      </c>
      <c r="D8" s="537" t="s">
        <v>836</v>
      </c>
      <c r="E8" s="625">
        <v>4.9800000000000004</v>
      </c>
      <c r="F8" s="625">
        <v>5.29</v>
      </c>
      <c r="G8" s="537" t="s">
        <v>836</v>
      </c>
      <c r="H8" s="625">
        <v>5.14</v>
      </c>
      <c r="I8" s="625">
        <v>5.35</v>
      </c>
      <c r="J8" s="537" t="s">
        <v>836</v>
      </c>
      <c r="K8" s="625">
        <v>5.12</v>
      </c>
      <c r="L8" s="625">
        <v>5.45</v>
      </c>
      <c r="M8" s="537" t="s">
        <v>836</v>
      </c>
      <c r="N8" s="626" t="s">
        <v>156</v>
      </c>
      <c r="O8" s="625">
        <v>4.8099999999999996</v>
      </c>
      <c r="P8" s="625">
        <v>4.91</v>
      </c>
      <c r="Q8" s="537" t="s">
        <v>836</v>
      </c>
      <c r="R8" s="625">
        <v>4.8</v>
      </c>
      <c r="S8" s="625">
        <v>4.93</v>
      </c>
      <c r="T8" s="537" t="s">
        <v>836</v>
      </c>
      <c r="U8" s="625">
        <v>5.01</v>
      </c>
      <c r="V8" s="625">
        <v>5.05</v>
      </c>
      <c r="W8" s="537" t="s">
        <v>836</v>
      </c>
      <c r="X8" s="625">
        <v>5.09</v>
      </c>
      <c r="Y8" s="625">
        <v>5.17</v>
      </c>
      <c r="Z8" s="537" t="s">
        <v>836</v>
      </c>
      <c r="AA8" s="624" t="s">
        <v>156</v>
      </c>
      <c r="AB8" s="625">
        <v>3.76</v>
      </c>
      <c r="AC8" s="625">
        <v>4.12</v>
      </c>
      <c r="AD8" s="537" t="s">
        <v>836</v>
      </c>
      <c r="AE8" s="625">
        <v>4</v>
      </c>
      <c r="AF8" s="625">
        <v>4.24</v>
      </c>
      <c r="AG8" s="537" t="s">
        <v>836</v>
      </c>
      <c r="AH8" s="625">
        <v>3.94</v>
      </c>
      <c r="AI8" s="625">
        <v>4.26</v>
      </c>
      <c r="AJ8" s="537" t="s">
        <v>836</v>
      </c>
      <c r="AK8" s="625">
        <v>4.26</v>
      </c>
      <c r="AL8" s="625">
        <v>4.2699999999999996</v>
      </c>
      <c r="AM8" s="537" t="s">
        <v>836</v>
      </c>
    </row>
    <row r="9" spans="1:39" ht="10.5" customHeight="1">
      <c r="A9" s="198" t="s">
        <v>1258</v>
      </c>
      <c r="B9" s="199" t="s">
        <v>202</v>
      </c>
      <c r="C9" s="199" t="s">
        <v>203</v>
      </c>
      <c r="D9" s="21" t="s">
        <v>836</v>
      </c>
      <c r="E9" s="199" t="s">
        <v>204</v>
      </c>
      <c r="F9" s="199" t="s">
        <v>205</v>
      </c>
      <c r="G9" s="21" t="s">
        <v>836</v>
      </c>
      <c r="H9" s="199" t="s">
        <v>206</v>
      </c>
      <c r="I9" s="199" t="s">
        <v>207</v>
      </c>
      <c r="J9" s="21" t="s">
        <v>836</v>
      </c>
      <c r="K9" s="199" t="s">
        <v>208</v>
      </c>
      <c r="L9" s="199" t="s">
        <v>209</v>
      </c>
      <c r="M9" s="21" t="s">
        <v>836</v>
      </c>
      <c r="N9" s="198" t="s">
        <v>1258</v>
      </c>
      <c r="O9" s="199" t="s">
        <v>210</v>
      </c>
      <c r="P9" s="199" t="s">
        <v>211</v>
      </c>
      <c r="Q9" s="21" t="s">
        <v>836</v>
      </c>
      <c r="R9" s="199" t="s">
        <v>212</v>
      </c>
      <c r="S9" s="199" t="s">
        <v>213</v>
      </c>
      <c r="T9" s="21" t="s">
        <v>836</v>
      </c>
      <c r="U9" s="199" t="s">
        <v>214</v>
      </c>
      <c r="V9" s="199" t="s">
        <v>215</v>
      </c>
      <c r="W9" s="21" t="s">
        <v>836</v>
      </c>
      <c r="X9" s="199" t="s">
        <v>216</v>
      </c>
      <c r="Y9" s="199" t="s">
        <v>217</v>
      </c>
      <c r="Z9" s="21" t="s">
        <v>836</v>
      </c>
      <c r="AA9" s="198" t="s">
        <v>1258</v>
      </c>
      <c r="AB9" s="199" t="s">
        <v>218</v>
      </c>
      <c r="AC9" s="199" t="s">
        <v>219</v>
      </c>
      <c r="AD9" s="21" t="s">
        <v>836</v>
      </c>
      <c r="AE9" s="199" t="s">
        <v>221</v>
      </c>
      <c r="AF9" s="199" t="s">
        <v>222</v>
      </c>
      <c r="AG9" s="21" t="s">
        <v>836</v>
      </c>
      <c r="AH9" s="199" t="s">
        <v>223</v>
      </c>
      <c r="AI9" s="199" t="s">
        <v>219</v>
      </c>
      <c r="AJ9" s="21" t="s">
        <v>836</v>
      </c>
      <c r="AK9" s="199" t="s">
        <v>224</v>
      </c>
      <c r="AL9" s="199" t="s">
        <v>225</v>
      </c>
      <c r="AM9" s="21" t="s">
        <v>836</v>
      </c>
    </row>
    <row r="10" spans="1:39" ht="10.5" customHeight="1">
      <c r="A10" s="624" t="s">
        <v>1259</v>
      </c>
      <c r="B10" s="625">
        <v>1.68</v>
      </c>
      <c r="C10" s="625">
        <v>3.82</v>
      </c>
      <c r="D10" s="537" t="s">
        <v>836</v>
      </c>
      <c r="E10" s="625">
        <v>2.34</v>
      </c>
      <c r="F10" s="625">
        <v>3.85</v>
      </c>
      <c r="G10" s="537" t="s">
        <v>836</v>
      </c>
      <c r="H10" s="625">
        <v>1.82</v>
      </c>
      <c r="I10" s="625">
        <v>3.89</v>
      </c>
      <c r="J10" s="537" t="s">
        <v>836</v>
      </c>
      <c r="K10" s="625">
        <v>2.04</v>
      </c>
      <c r="L10" s="625">
        <v>4.17</v>
      </c>
      <c r="M10" s="537" t="s">
        <v>836</v>
      </c>
      <c r="N10" s="624" t="s">
        <v>1202</v>
      </c>
      <c r="O10" s="625">
        <v>1.92</v>
      </c>
      <c r="P10" s="625">
        <v>3.51</v>
      </c>
      <c r="Q10" s="537" t="s">
        <v>836</v>
      </c>
      <c r="R10" s="625">
        <v>2.0099999999999998</v>
      </c>
      <c r="S10" s="625">
        <v>3.54</v>
      </c>
      <c r="T10" s="537" t="s">
        <v>836</v>
      </c>
      <c r="U10" s="625">
        <v>2.12</v>
      </c>
      <c r="V10" s="625">
        <v>3.55</v>
      </c>
      <c r="W10" s="537" t="s">
        <v>836</v>
      </c>
      <c r="X10" s="625">
        <v>2.6</v>
      </c>
      <c r="Y10" s="625">
        <v>3.87</v>
      </c>
      <c r="Z10" s="537" t="s">
        <v>836</v>
      </c>
      <c r="AA10" s="624" t="s">
        <v>1202</v>
      </c>
      <c r="AB10" s="625">
        <v>1.62</v>
      </c>
      <c r="AC10" s="625">
        <v>3.46</v>
      </c>
      <c r="AD10" s="537" t="s">
        <v>836</v>
      </c>
      <c r="AE10" s="625">
        <v>1.8</v>
      </c>
      <c r="AF10" s="625">
        <v>3.41</v>
      </c>
      <c r="AG10" s="537" t="s">
        <v>836</v>
      </c>
      <c r="AH10" s="625">
        <v>2.39</v>
      </c>
      <c r="AI10" s="625">
        <v>3.31</v>
      </c>
      <c r="AJ10" s="537" t="s">
        <v>836</v>
      </c>
      <c r="AK10" s="625">
        <v>2.02</v>
      </c>
      <c r="AL10" s="625">
        <v>3.64</v>
      </c>
      <c r="AM10" s="537" t="s">
        <v>836</v>
      </c>
    </row>
    <row r="11" spans="1:39" ht="10.5" customHeight="1">
      <c r="A11" s="198" t="s">
        <v>1203</v>
      </c>
      <c r="B11" s="199">
        <v>1.08</v>
      </c>
      <c r="C11" s="199">
        <v>3.55</v>
      </c>
      <c r="D11" s="21" t="s">
        <v>836</v>
      </c>
      <c r="E11" s="199">
        <v>1.0900000000000001</v>
      </c>
      <c r="F11" s="199">
        <v>3.58</v>
      </c>
      <c r="G11" s="21" t="s">
        <v>836</v>
      </c>
      <c r="H11" s="199">
        <v>1.1000000000000001</v>
      </c>
      <c r="I11" s="199">
        <v>3.59</v>
      </c>
      <c r="J11" s="21" t="s">
        <v>836</v>
      </c>
      <c r="K11" s="199">
        <v>1.17</v>
      </c>
      <c r="L11" s="199">
        <v>3.65</v>
      </c>
      <c r="M11" s="21" t="s">
        <v>836</v>
      </c>
      <c r="N11" s="198" t="s">
        <v>1203</v>
      </c>
      <c r="O11" s="199">
        <v>1.1399999999999999</v>
      </c>
      <c r="P11" s="199">
        <v>3.27</v>
      </c>
      <c r="Q11" s="21" t="s">
        <v>836</v>
      </c>
      <c r="R11" s="199">
        <v>1.1499999999999999</v>
      </c>
      <c r="S11" s="199">
        <v>3.28</v>
      </c>
      <c r="T11" s="21" t="s">
        <v>836</v>
      </c>
      <c r="U11" s="199">
        <v>1.21</v>
      </c>
      <c r="V11" s="199">
        <v>3.29</v>
      </c>
      <c r="W11" s="21" t="s">
        <v>836</v>
      </c>
      <c r="X11" s="199">
        <v>1.34</v>
      </c>
      <c r="Y11" s="199">
        <v>3.49</v>
      </c>
      <c r="Z11" s="21" t="s">
        <v>836</v>
      </c>
      <c r="AA11" s="198" t="s">
        <v>226</v>
      </c>
      <c r="AB11" s="199">
        <v>0.8</v>
      </c>
      <c r="AC11" s="199">
        <v>2.99</v>
      </c>
      <c r="AD11" s="21" t="s">
        <v>836</v>
      </c>
      <c r="AE11" s="199">
        <v>1.33</v>
      </c>
      <c r="AF11" s="199">
        <v>2.9</v>
      </c>
      <c r="AG11" s="21" t="s">
        <v>836</v>
      </c>
      <c r="AH11" s="199">
        <v>1.27</v>
      </c>
      <c r="AI11" s="199">
        <v>2.91</v>
      </c>
      <c r="AJ11" s="21" t="s">
        <v>836</v>
      </c>
      <c r="AK11" s="199">
        <v>0.9</v>
      </c>
      <c r="AL11" s="199">
        <v>2.95</v>
      </c>
      <c r="AM11" s="21" t="s">
        <v>836</v>
      </c>
    </row>
    <row r="12" spans="1:39" ht="10.5" customHeight="1">
      <c r="A12" s="624" t="s">
        <v>1204</v>
      </c>
      <c r="B12" s="625">
        <v>0.78</v>
      </c>
      <c r="C12" s="625">
        <v>3.21</v>
      </c>
      <c r="D12" s="537" t="s">
        <v>836</v>
      </c>
      <c r="E12" s="625">
        <v>0.8</v>
      </c>
      <c r="F12" s="625">
        <v>3.23</v>
      </c>
      <c r="G12" s="537" t="s">
        <v>836</v>
      </c>
      <c r="H12" s="625">
        <v>1.07</v>
      </c>
      <c r="I12" s="625">
        <v>3.24</v>
      </c>
      <c r="J12" s="537" t="s">
        <v>836</v>
      </c>
      <c r="K12" s="625">
        <v>0.94</v>
      </c>
      <c r="L12" s="625">
        <v>3.27</v>
      </c>
      <c r="M12" s="537" t="s">
        <v>836</v>
      </c>
      <c r="N12" s="624" t="s">
        <v>1204</v>
      </c>
      <c r="O12" s="625">
        <v>1.08</v>
      </c>
      <c r="P12" s="625">
        <v>3.01</v>
      </c>
      <c r="Q12" s="537" t="s">
        <v>836</v>
      </c>
      <c r="R12" s="625">
        <v>0.81</v>
      </c>
      <c r="S12" s="625">
        <v>3.02</v>
      </c>
      <c r="T12" s="537" t="s">
        <v>836</v>
      </c>
      <c r="U12" s="625">
        <v>0.82</v>
      </c>
      <c r="V12" s="625">
        <v>3.06</v>
      </c>
      <c r="W12" s="537" t="s">
        <v>836</v>
      </c>
      <c r="X12" s="625">
        <v>0.93</v>
      </c>
      <c r="Y12" s="625">
        <v>3.09</v>
      </c>
      <c r="Z12" s="537" t="s">
        <v>836</v>
      </c>
      <c r="AA12" s="624" t="s">
        <v>1204</v>
      </c>
      <c r="AB12" s="625">
        <v>0.45</v>
      </c>
      <c r="AC12" s="625">
        <v>2.74</v>
      </c>
      <c r="AD12" s="537" t="s">
        <v>836</v>
      </c>
      <c r="AE12" s="625">
        <v>0.97</v>
      </c>
      <c r="AF12" s="625">
        <v>2.76</v>
      </c>
      <c r="AG12" s="537" t="s">
        <v>836</v>
      </c>
      <c r="AH12" s="625">
        <v>1.01</v>
      </c>
      <c r="AI12" s="625">
        <v>2.74</v>
      </c>
      <c r="AJ12" s="537" t="s">
        <v>836</v>
      </c>
      <c r="AK12" s="625">
        <v>0.66</v>
      </c>
      <c r="AL12" s="625">
        <v>2.79</v>
      </c>
      <c r="AM12" s="537" t="s">
        <v>836</v>
      </c>
    </row>
    <row r="13" spans="1:39" ht="10.5" customHeight="1">
      <c r="A13" s="198" t="s">
        <v>1205</v>
      </c>
      <c r="B13" s="199">
        <v>0.93</v>
      </c>
      <c r="C13" s="199">
        <v>3.13</v>
      </c>
      <c r="D13" s="21" t="s">
        <v>836</v>
      </c>
      <c r="E13" s="199">
        <v>0.94</v>
      </c>
      <c r="F13" s="199">
        <v>3.15</v>
      </c>
      <c r="G13" s="21" t="s">
        <v>836</v>
      </c>
      <c r="H13" s="199">
        <v>0.95</v>
      </c>
      <c r="I13" s="199">
        <v>3.18</v>
      </c>
      <c r="J13" s="21" t="s">
        <v>836</v>
      </c>
      <c r="K13" s="199">
        <v>1.1200000000000001</v>
      </c>
      <c r="L13" s="199">
        <v>3.23</v>
      </c>
      <c r="M13" s="21" t="s">
        <v>836</v>
      </c>
      <c r="N13" s="198" t="s">
        <v>1205</v>
      </c>
      <c r="O13" s="199">
        <v>0.9</v>
      </c>
      <c r="P13" s="199">
        <v>3.12</v>
      </c>
      <c r="Q13" s="21" t="s">
        <v>836</v>
      </c>
      <c r="R13" s="199">
        <v>0.94</v>
      </c>
      <c r="S13" s="199">
        <v>3.14</v>
      </c>
      <c r="T13" s="21" t="s">
        <v>836</v>
      </c>
      <c r="U13" s="199">
        <v>0.97</v>
      </c>
      <c r="V13" s="199">
        <v>3.12</v>
      </c>
      <c r="W13" s="21" t="s">
        <v>836</v>
      </c>
      <c r="X13" s="199">
        <v>1.1299999999999999</v>
      </c>
      <c r="Y13" s="199">
        <v>3.18</v>
      </c>
      <c r="Z13" s="21" t="s">
        <v>836</v>
      </c>
      <c r="AA13" s="198" t="s">
        <v>1205</v>
      </c>
      <c r="AB13" s="199">
        <v>0.81</v>
      </c>
      <c r="AC13" s="199">
        <v>3.05</v>
      </c>
      <c r="AD13" s="21" t="s">
        <v>836</v>
      </c>
      <c r="AE13" s="199">
        <v>1.1399999999999999</v>
      </c>
      <c r="AF13" s="199">
        <v>3.05</v>
      </c>
      <c r="AG13" s="21" t="s">
        <v>836</v>
      </c>
      <c r="AH13" s="199">
        <v>1.18</v>
      </c>
      <c r="AI13" s="199">
        <v>2.92</v>
      </c>
      <c r="AJ13" s="21" t="s">
        <v>836</v>
      </c>
      <c r="AK13" s="199">
        <v>1</v>
      </c>
      <c r="AL13" s="199">
        <v>3.1</v>
      </c>
      <c r="AM13" s="21" t="s">
        <v>836</v>
      </c>
    </row>
    <row r="14" spans="1:39" ht="10.5" customHeight="1">
      <c r="A14" s="624" t="s">
        <v>1210</v>
      </c>
      <c r="B14" s="625">
        <v>1.84</v>
      </c>
      <c r="C14" s="625">
        <v>4.0999999999999996</v>
      </c>
      <c r="D14" s="537" t="s">
        <v>836</v>
      </c>
      <c r="E14" s="625">
        <v>1.96</v>
      </c>
      <c r="F14" s="625">
        <v>4.13</v>
      </c>
      <c r="G14" s="537" t="s">
        <v>836</v>
      </c>
      <c r="H14" s="625">
        <v>1.96</v>
      </c>
      <c r="I14" s="625">
        <v>4.12</v>
      </c>
      <c r="J14" s="537" t="s">
        <v>836</v>
      </c>
      <c r="K14" s="625">
        <v>2.33</v>
      </c>
      <c r="L14" s="625">
        <v>4.21</v>
      </c>
      <c r="M14" s="537" t="s">
        <v>836</v>
      </c>
      <c r="N14" s="624" t="s">
        <v>1210</v>
      </c>
      <c r="O14" s="625">
        <v>1.76</v>
      </c>
      <c r="P14" s="625">
        <v>4.08</v>
      </c>
      <c r="Q14" s="537" t="s">
        <v>836</v>
      </c>
      <c r="R14" s="625">
        <v>1.8</v>
      </c>
      <c r="S14" s="625">
        <v>4.13</v>
      </c>
      <c r="T14" s="537" t="s">
        <v>836</v>
      </c>
      <c r="U14" s="625">
        <v>1.88</v>
      </c>
      <c r="V14" s="625">
        <v>3.33</v>
      </c>
      <c r="W14" s="537" t="s">
        <v>836</v>
      </c>
      <c r="X14" s="625">
        <v>2.16</v>
      </c>
      <c r="Y14" s="625">
        <v>4.21</v>
      </c>
      <c r="Z14" s="537" t="s">
        <v>836</v>
      </c>
      <c r="AA14" s="624" t="s">
        <v>1210</v>
      </c>
      <c r="AB14" s="625">
        <v>1.8</v>
      </c>
      <c r="AC14" s="625">
        <v>4.09</v>
      </c>
      <c r="AD14" s="537" t="s">
        <v>836</v>
      </c>
      <c r="AE14" s="625">
        <v>2.1</v>
      </c>
      <c r="AF14" s="625">
        <v>4.1500000000000004</v>
      </c>
      <c r="AG14" s="537" t="s">
        <v>836</v>
      </c>
      <c r="AH14" s="625">
        <v>2.13</v>
      </c>
      <c r="AI14" s="625">
        <v>4.04</v>
      </c>
      <c r="AJ14" s="537" t="s">
        <v>836</v>
      </c>
      <c r="AK14" s="625">
        <v>2.12</v>
      </c>
      <c r="AL14" s="625">
        <v>4.13</v>
      </c>
      <c r="AM14" s="537" t="s">
        <v>836</v>
      </c>
    </row>
    <row r="15" spans="1:39" ht="10.5" customHeight="1">
      <c r="A15" s="198" t="s">
        <v>1219</v>
      </c>
      <c r="B15" s="199">
        <v>2.58</v>
      </c>
      <c r="C15" s="199">
        <v>4.54</v>
      </c>
      <c r="D15" s="21" t="s">
        <v>836</v>
      </c>
      <c r="E15" s="199">
        <v>2.645</v>
      </c>
      <c r="F15" s="199">
        <v>4.5508333333333333</v>
      </c>
      <c r="G15" s="21" t="s">
        <v>836</v>
      </c>
      <c r="H15" s="199">
        <v>2.7074999999999996</v>
      </c>
      <c r="I15" s="199">
        <v>4.6450000000000005</v>
      </c>
      <c r="J15" s="21" t="s">
        <v>836</v>
      </c>
      <c r="K15" s="199">
        <v>3.0983333333333332</v>
      </c>
      <c r="L15" s="199">
        <v>4.8183333333333334</v>
      </c>
      <c r="M15" s="21" t="s">
        <v>836</v>
      </c>
      <c r="N15" s="198" t="s">
        <v>1219</v>
      </c>
      <c r="O15" s="199">
        <v>2.0983333333333332</v>
      </c>
      <c r="P15" s="199">
        <v>4.3416666666666677</v>
      </c>
      <c r="Q15" s="21" t="s">
        <v>836</v>
      </c>
      <c r="R15" s="199">
        <v>2.3491666666666666</v>
      </c>
      <c r="S15" s="199">
        <v>4.3516666666666675</v>
      </c>
      <c r="T15" s="21" t="s">
        <v>836</v>
      </c>
      <c r="U15" s="199">
        <v>2.3540000000000001</v>
      </c>
      <c r="V15" s="199">
        <v>3.5190000000000001</v>
      </c>
      <c r="W15" s="21" t="s">
        <v>836</v>
      </c>
      <c r="X15" s="199">
        <v>2.5579999999999998</v>
      </c>
      <c r="Y15" s="199">
        <v>4.5</v>
      </c>
      <c r="Z15" s="21" t="s">
        <v>836</v>
      </c>
      <c r="AA15" s="198" t="s">
        <v>1219</v>
      </c>
      <c r="AB15" s="199">
        <v>2.09</v>
      </c>
      <c r="AC15" s="199">
        <v>4.335</v>
      </c>
      <c r="AD15" s="21" t="s">
        <v>836</v>
      </c>
      <c r="AE15" s="199">
        <v>2.33</v>
      </c>
      <c r="AF15" s="199">
        <v>4.3730000000000002</v>
      </c>
      <c r="AG15" s="21" t="s">
        <v>836</v>
      </c>
      <c r="AH15" s="199">
        <v>2.3624999999999994</v>
      </c>
      <c r="AI15" s="199">
        <v>4.343</v>
      </c>
      <c r="AJ15" s="21" t="s">
        <v>836</v>
      </c>
      <c r="AK15" s="199">
        <v>2.4300000000000002</v>
      </c>
      <c r="AL15" s="199">
        <v>4.3140000000000001</v>
      </c>
      <c r="AM15" s="21" t="s">
        <v>836</v>
      </c>
    </row>
    <row r="16" spans="1:39" ht="10.5" customHeight="1">
      <c r="A16" s="624" t="s">
        <v>916</v>
      </c>
      <c r="B16" s="625">
        <v>2.6724999999999999</v>
      </c>
      <c r="C16" s="625">
        <v>4.6500000000000004</v>
      </c>
      <c r="D16" s="537" t="s">
        <v>836</v>
      </c>
      <c r="E16" s="625">
        <v>2.7374999999999994</v>
      </c>
      <c r="F16" s="625">
        <v>4.6539999999999999</v>
      </c>
      <c r="G16" s="537" t="s">
        <v>836</v>
      </c>
      <c r="H16" s="625">
        <v>2.8050000000000002</v>
      </c>
      <c r="I16" s="625">
        <v>4.7350000000000003</v>
      </c>
      <c r="J16" s="537" t="s">
        <v>836</v>
      </c>
      <c r="K16" s="625">
        <v>3.1829999999999998</v>
      </c>
      <c r="L16" s="625">
        <v>4.9240000000000004</v>
      </c>
      <c r="M16" s="537" t="s">
        <v>836</v>
      </c>
      <c r="N16" s="624" t="s">
        <v>916</v>
      </c>
      <c r="O16" s="625">
        <v>2.194</v>
      </c>
      <c r="P16" s="625">
        <v>4.4349999999999996</v>
      </c>
      <c r="Q16" s="537" t="s">
        <v>836</v>
      </c>
      <c r="R16" s="625">
        <v>2.4324999999999997</v>
      </c>
      <c r="S16" s="625">
        <v>4.4249999999999998</v>
      </c>
      <c r="T16" s="537" t="s">
        <v>836</v>
      </c>
      <c r="U16" s="625">
        <v>2.4289999999999998</v>
      </c>
      <c r="V16" s="625">
        <v>3.5950000000000002</v>
      </c>
      <c r="W16" s="537" t="s">
        <v>836</v>
      </c>
      <c r="X16" s="625">
        <v>2.6425000000000001</v>
      </c>
      <c r="Y16" s="625">
        <v>4.585</v>
      </c>
      <c r="Z16" s="537" t="s">
        <v>836</v>
      </c>
      <c r="AA16" s="624" t="s">
        <v>916</v>
      </c>
      <c r="AB16" s="625">
        <v>2.1749999999999998</v>
      </c>
      <c r="AC16" s="625">
        <v>4.415</v>
      </c>
      <c r="AD16" s="537" t="s">
        <v>836</v>
      </c>
      <c r="AE16" s="625">
        <v>2.4250000000000003</v>
      </c>
      <c r="AF16" s="625">
        <v>4.4530000000000003</v>
      </c>
      <c r="AG16" s="537" t="s">
        <v>836</v>
      </c>
      <c r="AH16" s="625">
        <v>2.4390000000000001</v>
      </c>
      <c r="AI16" s="625">
        <v>4.4349999999999996</v>
      </c>
      <c r="AJ16" s="537" t="s">
        <v>836</v>
      </c>
      <c r="AK16" s="625">
        <v>2.5150000000000001</v>
      </c>
      <c r="AL16" s="625">
        <v>4.3949999999999996</v>
      </c>
      <c r="AM16" s="537" t="s">
        <v>836</v>
      </c>
    </row>
    <row r="17" spans="1:39" s="41" customFormat="1" ht="10.5" customHeight="1">
      <c r="A17" s="12" t="s">
        <v>230</v>
      </c>
      <c r="B17" s="19">
        <v>1.25</v>
      </c>
      <c r="C17" s="19">
        <v>2.72</v>
      </c>
      <c r="D17" s="21">
        <v>2.57</v>
      </c>
      <c r="E17" s="19">
        <v>1.78</v>
      </c>
      <c r="F17" s="19">
        <v>3.25</v>
      </c>
      <c r="G17" s="21">
        <v>2.96</v>
      </c>
      <c r="H17" s="19">
        <v>2.1800000000000002</v>
      </c>
      <c r="I17" s="19">
        <v>3.403</v>
      </c>
      <c r="J17" s="21">
        <v>3.1150000000000002</v>
      </c>
      <c r="K17" s="19">
        <v>2.226</v>
      </c>
      <c r="L17" s="19">
        <v>3.5630000000000002</v>
      </c>
      <c r="M17" s="21">
        <v>3.2280000000000002</v>
      </c>
      <c r="N17" s="12" t="s">
        <v>230</v>
      </c>
      <c r="O17" s="19">
        <v>1.212</v>
      </c>
      <c r="P17" s="19">
        <v>2.3719999999999999</v>
      </c>
      <c r="Q17" s="21">
        <v>1.5640000000000001</v>
      </c>
      <c r="R17" s="19">
        <v>1.508</v>
      </c>
      <c r="S17" s="19">
        <v>2.706</v>
      </c>
      <c r="T17" s="21">
        <v>1.8049999999999999</v>
      </c>
      <c r="U17" s="19">
        <v>1.617</v>
      </c>
      <c r="V17" s="19">
        <v>2.4279999999999999</v>
      </c>
      <c r="W17" s="21">
        <v>1.9259999999999999</v>
      </c>
      <c r="X17" s="19">
        <v>1.794</v>
      </c>
      <c r="Y17" s="19">
        <v>2.585</v>
      </c>
      <c r="Z17" s="21">
        <v>2.0129999999999999</v>
      </c>
      <c r="AA17" s="12" t="s">
        <v>230</v>
      </c>
      <c r="AB17" s="19">
        <v>1.0589999999999999</v>
      </c>
      <c r="AC17" s="19">
        <v>2.2130000000000001</v>
      </c>
      <c r="AD17" s="21">
        <v>2.0390000000000001</v>
      </c>
      <c r="AE17" s="19">
        <v>1.409</v>
      </c>
      <c r="AF17" s="19">
        <v>2.6160000000000001</v>
      </c>
      <c r="AG17" s="21">
        <v>2.29</v>
      </c>
      <c r="AH17" s="19">
        <v>1.72</v>
      </c>
      <c r="AI17" s="19">
        <v>3.0339999999999998</v>
      </c>
      <c r="AJ17" s="21">
        <v>2.8069999999999999</v>
      </c>
      <c r="AK17" s="19">
        <v>2.1309999999999998</v>
      </c>
      <c r="AL17" s="19">
        <v>3.472</v>
      </c>
      <c r="AM17" s="21">
        <v>2.8849999999999998</v>
      </c>
    </row>
    <row r="18" spans="1:39" s="90" customFormat="1" ht="10.5" customHeight="1">
      <c r="A18" s="552" t="s">
        <v>220</v>
      </c>
      <c r="B18" s="580">
        <v>0.16083333333333336</v>
      </c>
      <c r="C18" s="580">
        <v>0.2116666666666667</v>
      </c>
      <c r="D18" s="537">
        <v>0.13750000000000001</v>
      </c>
      <c r="E18" s="580">
        <v>0.33083333333333337</v>
      </c>
      <c r="F18" s="580">
        <v>0.33</v>
      </c>
      <c r="G18" s="537">
        <v>0.33916666666666667</v>
      </c>
      <c r="H18" s="580">
        <v>0.55583333333333329</v>
      </c>
      <c r="I18" s="580">
        <v>0.45</v>
      </c>
      <c r="J18" s="537">
        <v>0.6166666666666667</v>
      </c>
      <c r="K18" s="580">
        <v>0.89</v>
      </c>
      <c r="L18" s="580">
        <v>0.69666666666666666</v>
      </c>
      <c r="M18" s="537">
        <v>0.76916666666666655</v>
      </c>
      <c r="N18" s="552" t="s">
        <v>220</v>
      </c>
      <c r="O18" s="580">
        <v>0.19583333333333333</v>
      </c>
      <c r="P18" s="580">
        <v>0.46083333333333337</v>
      </c>
      <c r="Q18" s="537">
        <v>0.27500000000000002</v>
      </c>
      <c r="R18" s="580">
        <v>0.25</v>
      </c>
      <c r="S18" s="580">
        <v>0.5575</v>
      </c>
      <c r="T18" s="537">
        <v>0.41833333333333328</v>
      </c>
      <c r="U18" s="580">
        <v>0.40416666666666673</v>
      </c>
      <c r="V18" s="580">
        <v>0.60250000000000015</v>
      </c>
      <c r="W18" s="537">
        <v>0.52750000000000019</v>
      </c>
      <c r="X18" s="580">
        <v>0.79083333333333339</v>
      </c>
      <c r="Y18" s="580">
        <v>0.78749999999999998</v>
      </c>
      <c r="Z18" s="537">
        <v>0.70083333333333331</v>
      </c>
      <c r="AA18" s="552" t="s">
        <v>220</v>
      </c>
      <c r="AB18" s="580">
        <v>0.64916666666666656</v>
      </c>
      <c r="AC18" s="580">
        <v>0.12583333333333338</v>
      </c>
      <c r="AD18" s="537">
        <v>0.17166666666666666</v>
      </c>
      <c r="AE18" s="580">
        <v>0.80083333333333329</v>
      </c>
      <c r="AF18" s="580">
        <v>0.2383333333333334</v>
      </c>
      <c r="AG18" s="537">
        <v>0.30416666666666675</v>
      </c>
      <c r="AH18" s="580">
        <v>0.65083333333333337</v>
      </c>
      <c r="AI18" s="580">
        <v>0.34916666666666668</v>
      </c>
      <c r="AJ18" s="537">
        <v>0.44</v>
      </c>
      <c r="AK18" s="580">
        <v>0.81333333333333346</v>
      </c>
      <c r="AL18" s="580">
        <v>0.51416666666666677</v>
      </c>
      <c r="AM18" s="537">
        <v>0.57583333333333331</v>
      </c>
    </row>
    <row r="19" spans="1:39" s="494" customFormat="1" ht="10.5" customHeight="1">
      <c r="A19" s="449" t="s">
        <v>489</v>
      </c>
      <c r="B19" s="20">
        <v>0.16791666666666663</v>
      </c>
      <c r="C19" s="20">
        <v>0.24756944444444443</v>
      </c>
      <c r="D19" s="43">
        <v>0.43798611111111113</v>
      </c>
      <c r="E19" s="20">
        <v>0.33444444444444449</v>
      </c>
      <c r="F19" s="20">
        <v>0.39881944444444439</v>
      </c>
      <c r="G19" s="43">
        <v>0.64472222222222209</v>
      </c>
      <c r="H19" s="20">
        <v>0.50624999999999998</v>
      </c>
      <c r="I19" s="20">
        <v>0.66923611111111114</v>
      </c>
      <c r="J19" s="43">
        <v>0.94277777777777783</v>
      </c>
      <c r="K19" s="20">
        <v>0.73374999999999979</v>
      </c>
      <c r="L19" s="20">
        <v>0.93069444444444438</v>
      </c>
      <c r="M19" s="43">
        <v>1.0635416666666668</v>
      </c>
      <c r="N19" s="449" t="s">
        <v>489</v>
      </c>
      <c r="O19" s="20">
        <v>0.14000000000000004</v>
      </c>
      <c r="P19" s="20">
        <v>0.29643229166666668</v>
      </c>
      <c r="Q19" s="43">
        <v>0.40145833333333342</v>
      </c>
      <c r="R19" s="20">
        <v>0.19358333333333333</v>
      </c>
      <c r="S19" s="20">
        <v>0.41849999999999993</v>
      </c>
      <c r="T19" s="43">
        <v>0.53516666666666668</v>
      </c>
      <c r="U19" s="20">
        <v>0.28266666666666668</v>
      </c>
      <c r="V19" s="20">
        <v>0.55945833333333328</v>
      </c>
      <c r="W19" s="43">
        <v>0.64966666666666673</v>
      </c>
      <c r="X19" s="20">
        <v>0.5678333333333333</v>
      </c>
      <c r="Y19" s="20">
        <v>0.83166666666666655</v>
      </c>
      <c r="Z19" s="43">
        <v>0.87583333333333313</v>
      </c>
      <c r="AA19" s="449" t="s">
        <v>489</v>
      </c>
      <c r="AB19" s="20">
        <v>0.75583333333333336</v>
      </c>
      <c r="AC19" s="20">
        <v>0.28083333333333332</v>
      </c>
      <c r="AD19" s="43">
        <v>0.31277777777777777</v>
      </c>
      <c r="AE19" s="20">
        <v>1.0994444444444444</v>
      </c>
      <c r="AF19" s="20">
        <v>0.41625000000000001</v>
      </c>
      <c r="AG19" s="43">
        <v>0.53763888888888889</v>
      </c>
      <c r="AH19" s="20">
        <v>1.1913888888888888</v>
      </c>
      <c r="AI19" s="20">
        <v>0.5097222222222223</v>
      </c>
      <c r="AJ19" s="43">
        <v>0.62097222222222215</v>
      </c>
      <c r="AK19" s="20">
        <v>0.79916666666666647</v>
      </c>
      <c r="AL19" s="20">
        <v>0.54180555555555554</v>
      </c>
      <c r="AM19" s="43">
        <v>0.79249999999999998</v>
      </c>
    </row>
    <row r="20" spans="1:39" s="494" customFormat="1" ht="10.5" customHeight="1">
      <c r="A20" s="552" t="s">
        <v>1580</v>
      </c>
      <c r="B20" s="580">
        <v>0.16916666666666666</v>
      </c>
      <c r="C20" s="580">
        <v>0.33805555555555555</v>
      </c>
      <c r="D20" s="537">
        <v>0.63222222222222213</v>
      </c>
      <c r="E20" s="580">
        <v>0.36666666666666664</v>
      </c>
      <c r="F20" s="580">
        <v>0.63055555555555565</v>
      </c>
      <c r="G20" s="537">
        <v>0.89583333333333337</v>
      </c>
      <c r="H20" s="580">
        <v>0.62444444444444447</v>
      </c>
      <c r="I20" s="580">
        <v>0.93444444444444441</v>
      </c>
      <c r="J20" s="537">
        <v>1.141388888888889</v>
      </c>
      <c r="K20" s="580">
        <v>0.8783333333333333</v>
      </c>
      <c r="L20" s="580">
        <v>1.2255555555555555</v>
      </c>
      <c r="M20" s="537">
        <v>1.3674999999999999</v>
      </c>
      <c r="N20" s="552" t="s">
        <v>1580</v>
      </c>
      <c r="O20" s="580">
        <v>0.10250000000000002</v>
      </c>
      <c r="P20" s="580">
        <v>0.31416666666666665</v>
      </c>
      <c r="Q20" s="537">
        <v>0.57166666666666655</v>
      </c>
      <c r="R20" s="580">
        <v>0.21500000000000005</v>
      </c>
      <c r="S20" s="580">
        <v>0.50624999999999998</v>
      </c>
      <c r="T20" s="537">
        <v>0.72000000000000008</v>
      </c>
      <c r="U20" s="580">
        <v>0.34833333333333338</v>
      </c>
      <c r="V20" s="580">
        <v>0.65749999999999997</v>
      </c>
      <c r="W20" s="537">
        <v>0.81</v>
      </c>
      <c r="X20" s="580">
        <v>0.89416666666666655</v>
      </c>
      <c r="Y20" s="580">
        <v>0.95233333333333337</v>
      </c>
      <c r="Z20" s="537">
        <v>0.99500000000000011</v>
      </c>
      <c r="AA20" s="552" t="s">
        <v>1580</v>
      </c>
      <c r="AB20" s="580">
        <v>0.55875000000000019</v>
      </c>
      <c r="AC20" s="580">
        <v>0.42166666666666669</v>
      </c>
      <c r="AD20" s="537">
        <v>0.5</v>
      </c>
      <c r="AE20" s="580">
        <v>1.0566666666666666</v>
      </c>
      <c r="AF20" s="580">
        <v>0.65499999999999992</v>
      </c>
      <c r="AG20" s="537">
        <v>0.75</v>
      </c>
      <c r="AH20" s="580">
        <v>1.4295833333333332</v>
      </c>
      <c r="AI20" s="580">
        <v>0.99749999999999972</v>
      </c>
      <c r="AJ20" s="537">
        <v>0.9312499999999998</v>
      </c>
      <c r="AK20" s="580">
        <v>1.1666666666666667</v>
      </c>
      <c r="AL20" s="580">
        <v>0.94083333333333341</v>
      </c>
      <c r="AM20" s="537">
        <v>1.25</v>
      </c>
    </row>
    <row r="21" spans="1:39" s="494" customFormat="1" ht="10.5" customHeight="1">
      <c r="A21" s="449" t="s">
        <v>1809</v>
      </c>
      <c r="B21" s="20">
        <v>0.16958333333333339</v>
      </c>
      <c r="C21" s="20">
        <v>0.21965277777777778</v>
      </c>
      <c r="D21" s="43">
        <v>3.6111111111111114E-3</v>
      </c>
      <c r="E21" s="20">
        <v>0.19888888888888887</v>
      </c>
      <c r="F21" s="20">
        <v>0.28486111111111112</v>
      </c>
      <c r="G21" s="43">
        <v>5.0833333333333341E-2</v>
      </c>
      <c r="H21" s="20">
        <v>0.35916666666666669</v>
      </c>
      <c r="I21" s="20">
        <v>0.44350694444444455</v>
      </c>
      <c r="J21" s="43">
        <v>0.12611111111111115</v>
      </c>
      <c r="K21" s="20">
        <v>0.59020833333333322</v>
      </c>
      <c r="L21" s="20">
        <v>0.70586805555555554</v>
      </c>
      <c r="M21" s="43">
        <v>0.26034722222222223</v>
      </c>
      <c r="N21" s="449" t="s">
        <v>1809</v>
      </c>
      <c r="O21" s="20">
        <v>9.2082500000000012E-2</v>
      </c>
      <c r="P21" s="20">
        <v>0.24228124999999998</v>
      </c>
      <c r="Q21" s="43">
        <v>0.18372943333333333</v>
      </c>
      <c r="R21" s="20">
        <v>0.18142521929166663</v>
      </c>
      <c r="S21" s="20">
        <v>0.38397137278333332</v>
      </c>
      <c r="T21" s="43">
        <v>0.29373464912499997</v>
      </c>
      <c r="U21" s="20">
        <v>0.29680622806666668</v>
      </c>
      <c r="V21" s="20">
        <v>0.43682707018333344</v>
      </c>
      <c r="W21" s="43">
        <v>0.38601997368333335</v>
      </c>
      <c r="X21" s="20">
        <v>0.80951328947222212</v>
      </c>
      <c r="Y21" s="20">
        <v>0.69534501314999997</v>
      </c>
      <c r="Z21" s="43">
        <v>0.51850818421666667</v>
      </c>
      <c r="AA21" s="449" t="s">
        <v>1809</v>
      </c>
      <c r="AB21" s="20">
        <v>0.55041666666666667</v>
      </c>
      <c r="AC21" s="20">
        <v>0.39874999999999999</v>
      </c>
      <c r="AD21" s="43">
        <v>0.5</v>
      </c>
      <c r="AE21" s="20">
        <v>1.4790416666666666</v>
      </c>
      <c r="AF21" s="20">
        <v>0.55916666666666681</v>
      </c>
      <c r="AG21" s="43">
        <v>0.75</v>
      </c>
      <c r="AH21" s="20">
        <v>1.4741041666666668</v>
      </c>
      <c r="AI21" s="20">
        <v>0.68750000000000011</v>
      </c>
      <c r="AJ21" s="43">
        <v>0.62416666666666665</v>
      </c>
      <c r="AK21" s="20">
        <v>1.2992333333333332</v>
      </c>
      <c r="AL21" s="20">
        <v>0.85916666666666675</v>
      </c>
      <c r="AM21" s="43">
        <v>1.25</v>
      </c>
    </row>
    <row r="22" spans="1:39" s="315" customFormat="1" ht="11.1" customHeight="1">
      <c r="A22" s="926" t="s">
        <v>2226</v>
      </c>
      <c r="B22" s="542">
        <f xml:space="preserve"> SUM(B23:B34)/12</f>
        <v>6.9166666666666696E-2</v>
      </c>
      <c r="C22" s="542">
        <f t="shared" ref="C22:M22" si="0" xml:space="preserve"> SUM(C23:C34)/12</f>
        <v>0.21207052083333333</v>
      </c>
      <c r="D22" s="542">
        <f t="shared" si="0"/>
        <v>5.3333333333333337E-2</v>
      </c>
      <c r="E22" s="542">
        <f t="shared" si="0"/>
        <v>4.8898611111111108E-2</v>
      </c>
      <c r="F22" s="542">
        <f t="shared" si="0"/>
        <v>0.24257020833333334</v>
      </c>
      <c r="G22" s="542">
        <f t="shared" si="0"/>
        <v>5.9166666666666666E-2</v>
      </c>
      <c r="H22" s="542">
        <f t="shared" si="0"/>
        <v>0.10368437500000001</v>
      </c>
      <c r="I22" s="542">
        <f t="shared" si="0"/>
        <v>0.331078125</v>
      </c>
      <c r="J22" s="542">
        <f t="shared" si="0"/>
        <v>9.8393750000000002E-2</v>
      </c>
      <c r="K22" s="542">
        <f t="shared" si="0"/>
        <v>0.28775562500000001</v>
      </c>
      <c r="L22" s="542">
        <f t="shared" si="0"/>
        <v>0.54730156250000006</v>
      </c>
      <c r="M22" s="542">
        <f t="shared" si="0"/>
        <v>0.19117562500000004</v>
      </c>
      <c r="N22" s="926" t="s">
        <v>2226</v>
      </c>
      <c r="O22" s="542">
        <f xml:space="preserve"> SUM(O23:O34)/12</f>
        <v>0.23060208333333335</v>
      </c>
      <c r="P22" s="542">
        <f t="shared" ref="P22:Z22" si="1" xml:space="preserve"> SUM(P23:P34)/12</f>
        <v>0.28789062500000001</v>
      </c>
      <c r="Q22" s="542">
        <f t="shared" si="1"/>
        <v>0.19963549999999999</v>
      </c>
      <c r="R22" s="542">
        <f t="shared" si="1"/>
        <v>0.2548333333333333</v>
      </c>
      <c r="S22" s="542">
        <f t="shared" si="1"/>
        <v>0.41539350876666664</v>
      </c>
      <c r="T22" s="542">
        <f t="shared" si="1"/>
        <v>0.2763631944444444</v>
      </c>
      <c r="U22" s="542">
        <f t="shared" si="1"/>
        <v>0.39922916666666658</v>
      </c>
      <c r="V22" s="542">
        <f t="shared" si="1"/>
        <v>0.48461499999999996</v>
      </c>
      <c r="W22" s="542">
        <f t="shared" si="1"/>
        <v>0.38448833333333332</v>
      </c>
      <c r="X22" s="542">
        <f t="shared" si="1"/>
        <v>0.6540076388888888</v>
      </c>
      <c r="Y22" s="542">
        <f t="shared" si="1"/>
        <v>0.80578854166666669</v>
      </c>
      <c r="Z22" s="542">
        <f t="shared" si="1"/>
        <v>0.50327416666666669</v>
      </c>
      <c r="AA22" s="926" t="s">
        <v>2226</v>
      </c>
      <c r="AB22" s="542">
        <f xml:space="preserve"> SUM(AB23:AB34)/12</f>
        <v>0.90791666666666659</v>
      </c>
      <c r="AC22" s="542">
        <f t="shared" ref="AC22:AM22" si="2" xml:space="preserve"> SUM(AC23:AC34)/12</f>
        <v>0.38708333333333339</v>
      </c>
      <c r="AD22" s="542">
        <f t="shared" si="2"/>
        <v>0.45583333333333326</v>
      </c>
      <c r="AE22" s="542">
        <f t="shared" si="2"/>
        <v>1.1558333333333335</v>
      </c>
      <c r="AF22" s="542">
        <f t="shared" si="2"/>
        <v>0.53583333333333349</v>
      </c>
      <c r="AG22" s="542">
        <f t="shared" si="2"/>
        <v>0.66000000000000014</v>
      </c>
      <c r="AH22" s="542">
        <f t="shared" si="2"/>
        <v>1.1683333333333334</v>
      </c>
      <c r="AI22" s="542">
        <f t="shared" si="2"/>
        <v>0.61583333333333323</v>
      </c>
      <c r="AJ22" s="542">
        <f t="shared" si="2"/>
        <v>0.76750000000000007</v>
      </c>
      <c r="AK22" s="542">
        <f t="shared" si="2"/>
        <v>1.1204166666666668</v>
      </c>
      <c r="AL22" s="542">
        <f t="shared" si="2"/>
        <v>0.79604166666666665</v>
      </c>
      <c r="AM22" s="542">
        <f t="shared" si="2"/>
        <v>1.1550000000000002</v>
      </c>
    </row>
    <row r="23" spans="1:39" s="315" customFormat="1" ht="11.1" hidden="1" customHeight="1">
      <c r="A23" s="655" t="s">
        <v>1211</v>
      </c>
      <c r="B23" s="43">
        <v>0.1</v>
      </c>
      <c r="C23" s="43">
        <v>0.20500000000000002</v>
      </c>
      <c r="D23" s="43">
        <v>0</v>
      </c>
      <c r="E23" s="43">
        <v>4.8333333333333332E-2</v>
      </c>
      <c r="F23" s="43">
        <v>0.22</v>
      </c>
      <c r="G23" s="43">
        <v>0.03</v>
      </c>
      <c r="H23" s="43">
        <v>0.12875</v>
      </c>
      <c r="I23" s="43">
        <v>0.30499999999999999</v>
      </c>
      <c r="J23" s="43">
        <v>0.03</v>
      </c>
      <c r="K23" s="43">
        <v>0.3175</v>
      </c>
      <c r="L23" s="43">
        <v>0.51875000000000004</v>
      </c>
      <c r="M23" s="43">
        <v>0.10125000000000001</v>
      </c>
      <c r="N23" s="655" t="s">
        <v>1211</v>
      </c>
      <c r="O23" s="43">
        <v>9.0944999999999998E-2</v>
      </c>
      <c r="P23" s="43">
        <v>0.2064375</v>
      </c>
      <c r="Q23" s="43">
        <v>0.16232520000000003</v>
      </c>
      <c r="R23" s="43">
        <v>0.16799999999999998</v>
      </c>
      <c r="S23" s="43">
        <v>0.36521810519999998</v>
      </c>
      <c r="T23" s="43">
        <v>0.26927166666666663</v>
      </c>
      <c r="U23" s="43">
        <v>0.24174999999999999</v>
      </c>
      <c r="V23" s="43">
        <v>0.36387599999999998</v>
      </c>
      <c r="W23" s="43">
        <v>0.31797199999999998</v>
      </c>
      <c r="X23" s="43">
        <v>0.66261833333333342</v>
      </c>
      <c r="Y23" s="43">
        <v>0.61339250000000001</v>
      </c>
      <c r="Z23" s="43">
        <v>0.43785799999999997</v>
      </c>
      <c r="AA23" s="655" t="s">
        <v>1211</v>
      </c>
      <c r="AB23" s="656">
        <v>0.55500000000000005</v>
      </c>
      <c r="AC23" s="656">
        <v>0.39500000000000002</v>
      </c>
      <c r="AD23" s="656">
        <v>0.5</v>
      </c>
      <c r="AE23" s="656">
        <v>1.5350000000000001</v>
      </c>
      <c r="AF23" s="656">
        <v>0.52500000000000002</v>
      </c>
      <c r="AG23" s="656">
        <v>0.75</v>
      </c>
      <c r="AH23" s="656">
        <v>1.425</v>
      </c>
      <c r="AI23" s="656">
        <v>0.60499999999999998</v>
      </c>
      <c r="AJ23" s="656">
        <v>0.57000000000000006</v>
      </c>
      <c r="AK23" s="656">
        <v>1.175</v>
      </c>
      <c r="AL23" s="656">
        <v>0.76249999999999996</v>
      </c>
      <c r="AM23" s="911">
        <v>1.25</v>
      </c>
    </row>
    <row r="24" spans="1:39" s="315" customFormat="1" ht="11.1" hidden="1" customHeight="1">
      <c r="A24" s="624" t="s">
        <v>1212</v>
      </c>
      <c r="B24" s="537">
        <v>0.09</v>
      </c>
      <c r="C24" s="537">
        <v>0.2155475</v>
      </c>
      <c r="D24" s="537">
        <v>0</v>
      </c>
      <c r="E24" s="537">
        <v>5.0116666666666664E-2</v>
      </c>
      <c r="F24" s="537">
        <v>0.23296875000000003</v>
      </c>
      <c r="G24" s="537">
        <v>0.05</v>
      </c>
      <c r="H24" s="537">
        <v>0.142625</v>
      </c>
      <c r="I24" s="537">
        <v>0.31246875000000002</v>
      </c>
      <c r="J24" s="537">
        <v>6.4645000000000008E-2</v>
      </c>
      <c r="K24" s="537">
        <v>0.34772375</v>
      </c>
      <c r="L24" s="537">
        <v>0.52961000000000003</v>
      </c>
      <c r="M24" s="537">
        <v>0.13785749999999999</v>
      </c>
      <c r="N24" s="624" t="s">
        <v>1212</v>
      </c>
      <c r="O24" s="537">
        <v>8.8444999999999996E-2</v>
      </c>
      <c r="P24" s="537">
        <v>0.2064375</v>
      </c>
      <c r="Q24" s="537">
        <v>0.1643252</v>
      </c>
      <c r="R24" s="537">
        <v>0.16799999999999998</v>
      </c>
      <c r="S24" s="537">
        <v>0.36637599999999998</v>
      </c>
      <c r="T24" s="537">
        <v>0.27093833333333334</v>
      </c>
      <c r="U24" s="537">
        <v>0.24174999999999999</v>
      </c>
      <c r="V24" s="537">
        <v>0.36387599999999998</v>
      </c>
      <c r="W24" s="537">
        <v>0.32197199999999998</v>
      </c>
      <c r="X24" s="537">
        <v>0.65928500000000001</v>
      </c>
      <c r="Y24" s="537">
        <v>0.61339250000000001</v>
      </c>
      <c r="Z24" s="537">
        <v>0.44185799999999997</v>
      </c>
      <c r="AA24" s="624" t="s">
        <v>1212</v>
      </c>
      <c r="AB24" s="625">
        <v>0.90999999999999992</v>
      </c>
      <c r="AC24" s="625">
        <v>0.4</v>
      </c>
      <c r="AD24" s="625">
        <v>0.5</v>
      </c>
      <c r="AE24" s="625">
        <v>1.51</v>
      </c>
      <c r="AF24" s="625">
        <v>0.53</v>
      </c>
      <c r="AG24" s="625">
        <v>0.75</v>
      </c>
      <c r="AH24" s="625">
        <v>1.4350000000000001</v>
      </c>
      <c r="AI24" s="625">
        <v>0.42499999999999999</v>
      </c>
      <c r="AJ24" s="625">
        <v>0.57000000000000006</v>
      </c>
      <c r="AK24" s="625">
        <v>1.27</v>
      </c>
      <c r="AL24" s="625">
        <v>0.76</v>
      </c>
      <c r="AM24" s="912">
        <v>1.25</v>
      </c>
    </row>
    <row r="25" spans="1:39" s="315" customFormat="1" ht="11.1" hidden="1" customHeight="1">
      <c r="A25" s="655" t="s">
        <v>1206</v>
      </c>
      <c r="B25" s="43">
        <v>0.08</v>
      </c>
      <c r="C25" s="43">
        <v>0.22</v>
      </c>
      <c r="D25" s="43">
        <v>0</v>
      </c>
      <c r="E25" s="43">
        <v>0.04</v>
      </c>
      <c r="F25" s="43">
        <v>0.24</v>
      </c>
      <c r="G25" s="43">
        <v>0.06</v>
      </c>
      <c r="H25" s="43">
        <v>0.14000000000000001</v>
      </c>
      <c r="I25" s="43">
        <v>0.32</v>
      </c>
      <c r="J25" s="43">
        <v>0.08</v>
      </c>
      <c r="K25" s="43">
        <v>0.34</v>
      </c>
      <c r="L25" s="43">
        <v>0.53</v>
      </c>
      <c r="M25" s="43">
        <v>0.14000000000000001</v>
      </c>
      <c r="N25" s="655" t="s">
        <v>1206</v>
      </c>
      <c r="O25" s="43">
        <v>0.09</v>
      </c>
      <c r="P25" s="43">
        <v>0.21</v>
      </c>
      <c r="Q25" s="43">
        <v>0.16</v>
      </c>
      <c r="R25" s="43">
        <v>0.17</v>
      </c>
      <c r="S25" s="43">
        <v>0.37</v>
      </c>
      <c r="T25" s="43">
        <v>0.27</v>
      </c>
      <c r="U25" s="43">
        <v>0.24</v>
      </c>
      <c r="V25" s="43">
        <v>0.36</v>
      </c>
      <c r="W25" s="43">
        <v>0.32</v>
      </c>
      <c r="X25" s="43">
        <v>0.66</v>
      </c>
      <c r="Y25" s="43">
        <v>0.62</v>
      </c>
      <c r="Z25" s="43">
        <v>0.44</v>
      </c>
      <c r="AA25" s="655" t="s">
        <v>1206</v>
      </c>
      <c r="AB25" s="656">
        <v>0.91</v>
      </c>
      <c r="AC25" s="656">
        <v>0.4</v>
      </c>
      <c r="AD25" s="656">
        <v>0.5</v>
      </c>
      <c r="AE25" s="656">
        <v>0.93</v>
      </c>
      <c r="AF25" s="656">
        <v>0.53</v>
      </c>
      <c r="AG25" s="656">
        <v>0.75</v>
      </c>
      <c r="AH25" s="656">
        <v>1.42</v>
      </c>
      <c r="AI25" s="656">
        <v>0.61</v>
      </c>
      <c r="AJ25" s="656">
        <v>0.56999999999999995</v>
      </c>
      <c r="AK25" s="656">
        <v>1.2</v>
      </c>
      <c r="AL25" s="656">
        <v>0.76</v>
      </c>
      <c r="AM25" s="911">
        <v>1.25</v>
      </c>
    </row>
    <row r="26" spans="1:39" s="315" customFormat="1" ht="11.1" hidden="1" customHeight="1">
      <c r="A26" s="624" t="s">
        <v>1213</v>
      </c>
      <c r="B26" s="537">
        <v>0.08</v>
      </c>
      <c r="C26" s="537">
        <v>0.21476624999999999</v>
      </c>
      <c r="D26" s="537">
        <v>0</v>
      </c>
      <c r="E26" s="537">
        <v>4.1666666666666664E-2</v>
      </c>
      <c r="F26" s="537">
        <v>0.23679125000000001</v>
      </c>
      <c r="G26" s="537">
        <v>0.06</v>
      </c>
      <c r="H26" s="537">
        <v>0.13261249999999999</v>
      </c>
      <c r="I26" s="537">
        <v>0.31515625000000003</v>
      </c>
      <c r="J26" s="537">
        <v>7.5359999999999996E-2</v>
      </c>
      <c r="K26" s="537">
        <v>0.33428124999999997</v>
      </c>
      <c r="L26" s="537">
        <v>0.53308624999999998</v>
      </c>
      <c r="M26" s="537">
        <v>0.14000000000000001</v>
      </c>
      <c r="N26" s="624" t="s">
        <v>1213</v>
      </c>
      <c r="O26" s="537">
        <v>8.5944999999999994E-2</v>
      </c>
      <c r="P26" s="537">
        <v>0.20393749999999999</v>
      </c>
      <c r="Q26" s="537">
        <v>0.16232520000000003</v>
      </c>
      <c r="R26" s="537">
        <v>0.16399999999999998</v>
      </c>
      <c r="S26" s="537">
        <v>0.36637599999999998</v>
      </c>
      <c r="T26" s="537">
        <v>0.27260499999999999</v>
      </c>
      <c r="U26" s="537">
        <v>0.23374999999999999</v>
      </c>
      <c r="V26" s="537">
        <v>0.36387599999999998</v>
      </c>
      <c r="W26" s="537">
        <v>0.32197199999999998</v>
      </c>
      <c r="X26" s="537">
        <v>0.6526183333333333</v>
      </c>
      <c r="Y26" s="537">
        <v>0.61339250000000001</v>
      </c>
      <c r="Z26" s="537">
        <v>0.43985799999999992</v>
      </c>
      <c r="AA26" s="624" t="s">
        <v>1213</v>
      </c>
      <c r="AB26" s="625">
        <v>0.90999999999999992</v>
      </c>
      <c r="AC26" s="625">
        <v>0.39500000000000002</v>
      </c>
      <c r="AD26" s="625">
        <v>0.5</v>
      </c>
      <c r="AE26" s="625">
        <v>1.1000000000000001</v>
      </c>
      <c r="AF26" s="625">
        <v>0.53</v>
      </c>
      <c r="AG26" s="625">
        <v>0.75</v>
      </c>
      <c r="AH26" s="625">
        <v>1.42</v>
      </c>
      <c r="AI26" s="625">
        <v>0.60499999999999998</v>
      </c>
      <c r="AJ26" s="625">
        <v>0.5</v>
      </c>
      <c r="AK26" s="625">
        <v>1.1950000000000001</v>
      </c>
      <c r="AL26" s="625">
        <v>0.76</v>
      </c>
      <c r="AM26" s="912">
        <v>1.25</v>
      </c>
    </row>
    <row r="27" spans="1:39" s="315" customFormat="1" ht="11.1" hidden="1" customHeight="1">
      <c r="A27" s="655" t="s">
        <v>1214</v>
      </c>
      <c r="B27" s="43">
        <v>0.08</v>
      </c>
      <c r="C27" s="43">
        <v>0.21476624999999999</v>
      </c>
      <c r="D27" s="43">
        <v>0</v>
      </c>
      <c r="E27" s="43">
        <v>3.8333333333333337E-2</v>
      </c>
      <c r="F27" s="43">
        <v>0.23429125000000001</v>
      </c>
      <c r="G27" s="43">
        <v>7.0000000000000007E-2</v>
      </c>
      <c r="H27" s="43">
        <v>0.13011249999999999</v>
      </c>
      <c r="I27" s="43">
        <v>0.31265625000000002</v>
      </c>
      <c r="J27" s="43">
        <v>8.5360000000000005E-2</v>
      </c>
      <c r="K27" s="43">
        <v>0.33178124999999997</v>
      </c>
      <c r="L27" s="43">
        <v>0.53058625000000004</v>
      </c>
      <c r="M27" s="43">
        <v>0.14250000000000002</v>
      </c>
      <c r="N27" s="655" t="s">
        <v>1214</v>
      </c>
      <c r="O27" s="43">
        <v>8.5944999999999994E-2</v>
      </c>
      <c r="P27" s="43">
        <v>0.20393749999999999</v>
      </c>
      <c r="Q27" s="43">
        <v>0.1643252</v>
      </c>
      <c r="R27" s="43">
        <v>0.16399999999999998</v>
      </c>
      <c r="S27" s="43">
        <v>0.36837599999999993</v>
      </c>
      <c r="T27" s="43">
        <v>0.27260499999999999</v>
      </c>
      <c r="U27" s="43">
        <v>0.23174999999999998</v>
      </c>
      <c r="V27" s="43">
        <v>0.36587599999999998</v>
      </c>
      <c r="W27" s="43">
        <v>0.31797199999999998</v>
      </c>
      <c r="X27" s="43">
        <v>0.6476183333333333</v>
      </c>
      <c r="Y27" s="43">
        <v>0.61339250000000001</v>
      </c>
      <c r="Z27" s="43">
        <v>0.43385799999999997</v>
      </c>
      <c r="AA27" s="655" t="s">
        <v>1214</v>
      </c>
      <c r="AB27" s="656">
        <v>0.81499999999999995</v>
      </c>
      <c r="AC27" s="656">
        <v>0.4</v>
      </c>
      <c r="AD27" s="656">
        <v>0.5</v>
      </c>
      <c r="AE27" s="656">
        <v>1</v>
      </c>
      <c r="AF27" s="656">
        <v>0.53500000000000003</v>
      </c>
      <c r="AG27" s="656">
        <v>0.75</v>
      </c>
      <c r="AH27" s="656">
        <v>1.425</v>
      </c>
      <c r="AI27" s="656">
        <v>0.61</v>
      </c>
      <c r="AJ27" s="656">
        <v>0.5</v>
      </c>
      <c r="AK27" s="656">
        <v>1.2150000000000001</v>
      </c>
      <c r="AL27" s="656">
        <v>0.77</v>
      </c>
      <c r="AM27" s="911">
        <v>1.25</v>
      </c>
    </row>
    <row r="28" spans="1:39" s="315" customFormat="1" ht="11.1" hidden="1" customHeight="1">
      <c r="A28" s="624" t="s">
        <v>1207</v>
      </c>
      <c r="B28" s="537">
        <v>7.0000000000000007E-2</v>
      </c>
      <c r="C28" s="537">
        <v>0.21476624999999999</v>
      </c>
      <c r="D28" s="537">
        <v>0</v>
      </c>
      <c r="E28" s="537">
        <v>3.8333333333333337E-2</v>
      </c>
      <c r="F28" s="537">
        <v>0.23679125000000001</v>
      </c>
      <c r="G28" s="537">
        <v>7.0000000000000007E-2</v>
      </c>
      <c r="H28" s="537">
        <v>0.13011249999999999</v>
      </c>
      <c r="I28" s="537">
        <v>0.31765625000000003</v>
      </c>
      <c r="J28" s="537">
        <v>8.5360000000000005E-2</v>
      </c>
      <c r="K28" s="537">
        <v>0.33178124999999997</v>
      </c>
      <c r="L28" s="537">
        <v>0.53558625000000004</v>
      </c>
      <c r="M28" s="537">
        <v>0.14250000000000002</v>
      </c>
      <c r="N28" s="624" t="s">
        <v>1207</v>
      </c>
      <c r="O28" s="537">
        <v>8.5944999999999994E-2</v>
      </c>
      <c r="P28" s="537">
        <v>0.20393749999999999</v>
      </c>
      <c r="Q28" s="537">
        <v>0.17232520000000001</v>
      </c>
      <c r="R28" s="537">
        <v>0.16399999999999998</v>
      </c>
      <c r="S28" s="537">
        <v>0.36837599999999993</v>
      </c>
      <c r="T28" s="537">
        <v>0.26093833333333333</v>
      </c>
      <c r="U28" s="537">
        <v>0.23174999999999998</v>
      </c>
      <c r="V28" s="537">
        <v>0.36787599999999998</v>
      </c>
      <c r="W28" s="537">
        <v>0.32397199999999998</v>
      </c>
      <c r="X28" s="537">
        <v>0.64595166666666659</v>
      </c>
      <c r="Y28" s="537">
        <v>0.61589249999999995</v>
      </c>
      <c r="Z28" s="537">
        <v>0.43585799999999997</v>
      </c>
      <c r="AA28" s="624" t="s">
        <v>1207</v>
      </c>
      <c r="AB28" s="625">
        <v>0.79499999999999993</v>
      </c>
      <c r="AC28" s="625">
        <v>0.39500000000000002</v>
      </c>
      <c r="AD28" s="625">
        <v>0.5</v>
      </c>
      <c r="AE28" s="625">
        <v>0.995</v>
      </c>
      <c r="AF28" s="625">
        <v>0.53</v>
      </c>
      <c r="AG28" s="625">
        <v>0.75</v>
      </c>
      <c r="AH28" s="625">
        <v>1.375</v>
      </c>
      <c r="AI28" s="625">
        <v>0.60499999999999998</v>
      </c>
      <c r="AJ28" s="625">
        <v>0.5</v>
      </c>
      <c r="AK28" s="625">
        <v>1.26</v>
      </c>
      <c r="AL28" s="625">
        <v>0.76</v>
      </c>
      <c r="AM28" s="912">
        <v>1.25</v>
      </c>
    </row>
    <row r="29" spans="1:39" s="315" customFormat="1" ht="11.1" hidden="1" customHeight="1">
      <c r="A29" s="655" t="s">
        <v>1215</v>
      </c>
      <c r="B29" s="43">
        <v>7.0000000000000007E-2</v>
      </c>
      <c r="C29" s="43">
        <v>0.21</v>
      </c>
      <c r="D29" s="43">
        <v>0.08</v>
      </c>
      <c r="E29" s="43">
        <v>7.0000000000000007E-2</v>
      </c>
      <c r="F29" s="43">
        <v>0.25</v>
      </c>
      <c r="G29" s="43">
        <v>0.05</v>
      </c>
      <c r="H29" s="43">
        <v>0.09</v>
      </c>
      <c r="I29" s="43">
        <v>0.34</v>
      </c>
      <c r="J29" s="43">
        <v>0.12</v>
      </c>
      <c r="K29" s="43">
        <v>0.26</v>
      </c>
      <c r="L29" s="43">
        <v>0.55000000000000004</v>
      </c>
      <c r="M29" s="43">
        <v>0.24</v>
      </c>
      <c r="N29" s="655" t="s">
        <v>1215</v>
      </c>
      <c r="O29" s="43">
        <v>0.28000000000000003</v>
      </c>
      <c r="P29" s="43">
        <v>0.31</v>
      </c>
      <c r="Q29" s="43">
        <v>0.22</v>
      </c>
      <c r="R29" s="43">
        <v>0.24</v>
      </c>
      <c r="S29" s="43">
        <v>0.41</v>
      </c>
      <c r="T29" s="43">
        <v>0.27</v>
      </c>
      <c r="U29" s="43">
        <v>0.43</v>
      </c>
      <c r="V29" s="43">
        <v>0.53</v>
      </c>
      <c r="W29" s="43">
        <v>0.43</v>
      </c>
      <c r="X29" s="43">
        <v>0.54</v>
      </c>
      <c r="Y29" s="43">
        <v>0.95</v>
      </c>
      <c r="Z29" s="43">
        <v>0.55000000000000004</v>
      </c>
      <c r="AA29" s="655" t="s">
        <v>1215</v>
      </c>
      <c r="AB29" s="656">
        <v>1.02</v>
      </c>
      <c r="AC29" s="656">
        <v>0.38</v>
      </c>
      <c r="AD29" s="656">
        <v>0.54</v>
      </c>
      <c r="AE29" s="656">
        <v>1.1499999999999999</v>
      </c>
      <c r="AF29" s="656">
        <v>0.63</v>
      </c>
      <c r="AG29" s="656">
        <v>0.56999999999999995</v>
      </c>
      <c r="AH29" s="656">
        <v>1.07</v>
      </c>
      <c r="AI29" s="656">
        <v>0.71</v>
      </c>
      <c r="AJ29" s="656">
        <v>1</v>
      </c>
      <c r="AK29" s="656">
        <v>1.06</v>
      </c>
      <c r="AL29" s="656">
        <v>0.83</v>
      </c>
      <c r="AM29" s="911">
        <v>1.06</v>
      </c>
    </row>
    <row r="30" spans="1:39" s="315" customFormat="1" ht="11.1" hidden="1" customHeight="1">
      <c r="A30" s="624" t="s">
        <v>1216</v>
      </c>
      <c r="B30" s="537">
        <v>0.06</v>
      </c>
      <c r="C30" s="537">
        <v>0.21</v>
      </c>
      <c r="D30" s="537">
        <v>0.1</v>
      </c>
      <c r="E30" s="537">
        <v>0.06</v>
      </c>
      <c r="F30" s="537">
        <v>0.25</v>
      </c>
      <c r="G30" s="537">
        <v>0.05</v>
      </c>
      <c r="H30" s="537">
        <v>7.0000000000000007E-2</v>
      </c>
      <c r="I30" s="537">
        <v>0.34</v>
      </c>
      <c r="J30" s="537">
        <v>0.12</v>
      </c>
      <c r="K30" s="537">
        <v>0.25</v>
      </c>
      <c r="L30" s="537">
        <v>0.55000000000000004</v>
      </c>
      <c r="M30" s="537">
        <v>0.24</v>
      </c>
      <c r="N30" s="624" t="s">
        <v>1216</v>
      </c>
      <c r="O30" s="537">
        <v>0.34</v>
      </c>
      <c r="P30" s="537">
        <v>0.33</v>
      </c>
      <c r="Q30" s="537">
        <v>0.23</v>
      </c>
      <c r="R30" s="537">
        <v>0.31</v>
      </c>
      <c r="S30" s="537">
        <v>0.45</v>
      </c>
      <c r="T30" s="537">
        <v>0.28000000000000003</v>
      </c>
      <c r="U30" s="537">
        <v>0.46</v>
      </c>
      <c r="V30" s="537">
        <v>0.59</v>
      </c>
      <c r="W30" s="537">
        <v>0.45</v>
      </c>
      <c r="X30" s="537">
        <v>0.57999999999999996</v>
      </c>
      <c r="Y30" s="537">
        <v>1.04</v>
      </c>
      <c r="Z30" s="537">
        <v>0.59</v>
      </c>
      <c r="AA30" s="624" t="s">
        <v>1216</v>
      </c>
      <c r="AB30" s="625">
        <v>1.04</v>
      </c>
      <c r="AC30" s="625">
        <v>0.47</v>
      </c>
      <c r="AD30" s="625">
        <v>0.53</v>
      </c>
      <c r="AE30" s="625">
        <v>1.1399999999999999</v>
      </c>
      <c r="AF30" s="625">
        <v>0.69</v>
      </c>
      <c r="AG30" s="625">
        <v>0.56999999999999995</v>
      </c>
      <c r="AH30" s="625">
        <v>0.95</v>
      </c>
      <c r="AI30" s="625">
        <v>0.67</v>
      </c>
      <c r="AJ30" s="625">
        <v>1</v>
      </c>
      <c r="AK30" s="625">
        <v>1.06</v>
      </c>
      <c r="AL30" s="625">
        <v>0.83</v>
      </c>
      <c r="AM30" s="912">
        <v>1.06</v>
      </c>
    </row>
    <row r="31" spans="1:39" s="315" customFormat="1" ht="11.1" hidden="1" customHeight="1">
      <c r="A31" s="655" t="s">
        <v>1208</v>
      </c>
      <c r="B31" s="43">
        <v>0.05</v>
      </c>
      <c r="C31" s="43">
        <v>0.21</v>
      </c>
      <c r="D31" s="43">
        <v>0.1</v>
      </c>
      <c r="E31" s="43">
        <v>0.05</v>
      </c>
      <c r="F31" s="43">
        <v>0.25</v>
      </c>
      <c r="G31" s="43">
        <v>0.05</v>
      </c>
      <c r="H31" s="43">
        <v>7.0000000000000007E-2</v>
      </c>
      <c r="I31" s="43">
        <v>0.34</v>
      </c>
      <c r="J31" s="43">
        <v>0.11</v>
      </c>
      <c r="K31" s="43">
        <v>0.24</v>
      </c>
      <c r="L31" s="43">
        <v>0.55000000000000004</v>
      </c>
      <c r="M31" s="43">
        <v>0.24</v>
      </c>
      <c r="N31" s="655" t="s">
        <v>1208</v>
      </c>
      <c r="O31" s="43">
        <v>0.31</v>
      </c>
      <c r="P31" s="43">
        <v>0.31</v>
      </c>
      <c r="Q31" s="43">
        <v>0.2</v>
      </c>
      <c r="R31" s="43">
        <v>0.27</v>
      </c>
      <c r="S31" s="43">
        <v>0.41</v>
      </c>
      <c r="T31" s="43">
        <v>0.26</v>
      </c>
      <c r="U31" s="43">
        <v>0.42</v>
      </c>
      <c r="V31" s="43">
        <v>0.52</v>
      </c>
      <c r="W31" s="43">
        <v>0.4</v>
      </c>
      <c r="X31" s="43">
        <v>0.54</v>
      </c>
      <c r="Y31" s="43">
        <v>0.93</v>
      </c>
      <c r="Z31" s="43">
        <v>0.53</v>
      </c>
      <c r="AA31" s="655" t="s">
        <v>1208</v>
      </c>
      <c r="AB31" s="656">
        <v>1.02</v>
      </c>
      <c r="AC31" s="656">
        <v>0.35</v>
      </c>
      <c r="AD31" s="656">
        <v>0.35</v>
      </c>
      <c r="AE31" s="656">
        <v>1.1000000000000001</v>
      </c>
      <c r="AF31" s="656">
        <v>0.48</v>
      </c>
      <c r="AG31" s="656">
        <v>0.56999999999999995</v>
      </c>
      <c r="AH31" s="656">
        <v>0.86</v>
      </c>
      <c r="AI31" s="656">
        <v>0.63</v>
      </c>
      <c r="AJ31" s="656">
        <v>1</v>
      </c>
      <c r="AK31" s="656">
        <v>1.04</v>
      </c>
      <c r="AL31" s="656">
        <v>0.83</v>
      </c>
      <c r="AM31" s="911">
        <v>1.06</v>
      </c>
    </row>
    <row r="32" spans="1:39" s="482" customFormat="1" ht="11.1" hidden="1" customHeight="1">
      <c r="A32" s="1025" t="s">
        <v>1217</v>
      </c>
      <c r="B32" s="823">
        <v>0.05</v>
      </c>
      <c r="C32" s="823">
        <v>0.21</v>
      </c>
      <c r="D32" s="823">
        <v>0.11</v>
      </c>
      <c r="E32" s="823">
        <v>0.05</v>
      </c>
      <c r="F32" s="823">
        <v>0.25</v>
      </c>
      <c r="G32" s="823">
        <v>7.0000000000000007E-2</v>
      </c>
      <c r="H32" s="823">
        <v>7.0000000000000007E-2</v>
      </c>
      <c r="I32" s="823">
        <v>0.35</v>
      </c>
      <c r="J32" s="823">
        <v>0.14000000000000001</v>
      </c>
      <c r="K32" s="823">
        <v>0.24</v>
      </c>
      <c r="L32" s="823">
        <v>0.56000000000000005</v>
      </c>
      <c r="M32" s="823">
        <v>0.26</v>
      </c>
      <c r="N32" s="1025" t="s">
        <v>1217</v>
      </c>
      <c r="O32" s="823">
        <v>0.45</v>
      </c>
      <c r="P32" s="823">
        <v>0.43</v>
      </c>
      <c r="Q32" s="823">
        <v>0.27</v>
      </c>
      <c r="R32" s="823">
        <v>0.43</v>
      </c>
      <c r="S32" s="823">
        <v>0.5</v>
      </c>
      <c r="T32" s="823">
        <v>0.31</v>
      </c>
      <c r="U32" s="823">
        <v>0.7</v>
      </c>
      <c r="V32" s="823">
        <v>0.66</v>
      </c>
      <c r="W32" s="823">
        <v>0.49</v>
      </c>
      <c r="X32" s="823">
        <v>0.76</v>
      </c>
      <c r="Y32" s="823">
        <v>1.03</v>
      </c>
      <c r="Z32" s="823">
        <v>0.59</v>
      </c>
      <c r="AA32" s="1025" t="s">
        <v>1217</v>
      </c>
      <c r="AB32" s="823">
        <v>1.01</v>
      </c>
      <c r="AC32" s="823">
        <v>0.35</v>
      </c>
      <c r="AD32" s="823">
        <v>0.35</v>
      </c>
      <c r="AE32" s="823">
        <v>1.1200000000000001</v>
      </c>
      <c r="AF32" s="823">
        <v>0.48</v>
      </c>
      <c r="AG32" s="823">
        <v>0.56999999999999995</v>
      </c>
      <c r="AH32" s="823">
        <v>0.88</v>
      </c>
      <c r="AI32" s="823">
        <v>0.64</v>
      </c>
      <c r="AJ32" s="823">
        <v>1</v>
      </c>
      <c r="AK32" s="823">
        <v>0.99</v>
      </c>
      <c r="AL32" s="823">
        <v>0.83</v>
      </c>
      <c r="AM32" s="823">
        <v>1.06</v>
      </c>
    </row>
    <row r="33" spans="1:39" s="482" customFormat="1" ht="11.1" hidden="1" customHeight="1">
      <c r="A33" s="884" t="s">
        <v>1218</v>
      </c>
      <c r="B33" s="1034">
        <v>0.05</v>
      </c>
      <c r="C33" s="1034">
        <v>0.21</v>
      </c>
      <c r="D33" s="1034">
        <v>0.12</v>
      </c>
      <c r="E33" s="1034">
        <v>0.05</v>
      </c>
      <c r="F33" s="1034">
        <v>0.25</v>
      </c>
      <c r="G33" s="1034">
        <v>0.09</v>
      </c>
      <c r="H33" s="1034">
        <v>7.0000000000000007E-2</v>
      </c>
      <c r="I33" s="1034">
        <v>0.35</v>
      </c>
      <c r="J33" s="1034">
        <v>0.16</v>
      </c>
      <c r="K33" s="1034">
        <v>0.23</v>
      </c>
      <c r="L33" s="1034">
        <v>0.56999999999999995</v>
      </c>
      <c r="M33" s="1034">
        <v>0.28000000000000003</v>
      </c>
      <c r="N33" s="884" t="s">
        <v>1218</v>
      </c>
      <c r="O33" s="1034">
        <v>0.43</v>
      </c>
      <c r="P33" s="1034">
        <v>0.42</v>
      </c>
      <c r="Q33" s="1034">
        <v>0.26</v>
      </c>
      <c r="R33" s="1034">
        <v>0.4</v>
      </c>
      <c r="S33" s="1034">
        <v>0.5</v>
      </c>
      <c r="T33" s="1034">
        <v>0.3</v>
      </c>
      <c r="U33" s="1034">
        <v>0.68</v>
      </c>
      <c r="V33" s="1034">
        <v>0.65</v>
      </c>
      <c r="W33" s="1034">
        <v>0.47</v>
      </c>
      <c r="X33" s="1034">
        <v>0.74</v>
      </c>
      <c r="Y33" s="1034">
        <v>1.03</v>
      </c>
      <c r="Z33" s="1034">
        <v>0.57999999999999996</v>
      </c>
      <c r="AA33" s="884" t="s">
        <v>1218</v>
      </c>
      <c r="AB33" s="1034">
        <v>0.93</v>
      </c>
      <c r="AC33" s="1034">
        <v>0.35</v>
      </c>
      <c r="AD33" s="1034">
        <v>0.35</v>
      </c>
      <c r="AE33" s="1034">
        <v>1.1499999999999999</v>
      </c>
      <c r="AF33" s="1034">
        <v>0.48</v>
      </c>
      <c r="AG33" s="1034">
        <v>0.56999999999999995</v>
      </c>
      <c r="AH33" s="1034">
        <v>0.88</v>
      </c>
      <c r="AI33" s="1034">
        <v>0.64</v>
      </c>
      <c r="AJ33" s="1034">
        <v>1</v>
      </c>
      <c r="AK33" s="1034">
        <v>0.99</v>
      </c>
      <c r="AL33" s="1034">
        <v>0.83</v>
      </c>
      <c r="AM33" s="1034">
        <v>1.06</v>
      </c>
    </row>
    <row r="34" spans="1:39" s="482" customFormat="1" ht="11.1" hidden="1" customHeight="1">
      <c r="A34" s="1056" t="s">
        <v>1209</v>
      </c>
      <c r="B34" s="823">
        <v>0.05</v>
      </c>
      <c r="C34" s="823">
        <v>0.21</v>
      </c>
      <c r="D34" s="823">
        <v>0.13</v>
      </c>
      <c r="E34" s="823">
        <v>0.05</v>
      </c>
      <c r="F34" s="823">
        <v>0.26</v>
      </c>
      <c r="G34" s="823">
        <v>0.06</v>
      </c>
      <c r="H34" s="823">
        <v>7.0000000000000007E-2</v>
      </c>
      <c r="I34" s="823">
        <v>0.37</v>
      </c>
      <c r="J34" s="823">
        <v>0.11</v>
      </c>
      <c r="K34" s="823">
        <v>0.23</v>
      </c>
      <c r="L34" s="823">
        <v>0.61</v>
      </c>
      <c r="M34" s="823">
        <v>0.23</v>
      </c>
      <c r="N34" s="1056" t="s">
        <v>1209</v>
      </c>
      <c r="O34" s="823">
        <v>0.43</v>
      </c>
      <c r="P34" s="823">
        <v>0.42</v>
      </c>
      <c r="Q34" s="823">
        <v>0.23</v>
      </c>
      <c r="R34" s="823">
        <v>0.41</v>
      </c>
      <c r="S34" s="823">
        <v>0.51</v>
      </c>
      <c r="T34" s="823">
        <v>0.28000000000000003</v>
      </c>
      <c r="U34" s="823">
        <v>0.68</v>
      </c>
      <c r="V34" s="823">
        <v>0.68</v>
      </c>
      <c r="W34" s="823">
        <v>0.45</v>
      </c>
      <c r="X34" s="823">
        <v>0.76</v>
      </c>
      <c r="Y34" s="823">
        <v>1</v>
      </c>
      <c r="Z34" s="823">
        <v>0.56999999999999995</v>
      </c>
      <c r="AA34" s="1056" t="s">
        <v>1209</v>
      </c>
      <c r="AB34" s="823">
        <v>0.98</v>
      </c>
      <c r="AC34" s="823">
        <v>0.36</v>
      </c>
      <c r="AD34" s="823">
        <v>0.35</v>
      </c>
      <c r="AE34" s="823">
        <v>1.1399999999999999</v>
      </c>
      <c r="AF34" s="823">
        <v>0.49</v>
      </c>
      <c r="AG34" s="823">
        <v>0.56999999999999995</v>
      </c>
      <c r="AH34" s="823">
        <v>0.88</v>
      </c>
      <c r="AI34" s="823">
        <v>0.64</v>
      </c>
      <c r="AJ34" s="823">
        <v>1</v>
      </c>
      <c r="AK34" s="823">
        <v>0.99</v>
      </c>
      <c r="AL34" s="823">
        <v>0.83</v>
      </c>
      <c r="AM34" s="823">
        <v>1.06</v>
      </c>
    </row>
    <row r="35" spans="1:39" s="918" customFormat="1" ht="11.1" customHeight="1">
      <c r="A35" s="818" t="s">
        <v>2376</v>
      </c>
      <c r="B35" s="1060">
        <f t="shared" ref="B35:M35" si="3">SUM(B36:B47)/12</f>
        <v>6.0833333333333323E-2</v>
      </c>
      <c r="C35" s="1060">
        <f t="shared" si="3"/>
        <v>0.2014565555</v>
      </c>
      <c r="D35" s="1060">
        <f t="shared" si="3"/>
        <v>0</v>
      </c>
      <c r="E35" s="1060">
        <f t="shared" si="3"/>
        <v>3.8953055555555553E-2</v>
      </c>
      <c r="F35" s="1060">
        <f t="shared" si="3"/>
        <v>0.25167252783333338</v>
      </c>
      <c r="G35" s="1060">
        <f t="shared" si="3"/>
        <v>1.7500000000000002E-2</v>
      </c>
      <c r="H35" s="1060">
        <f t="shared" si="3"/>
        <v>8.435333333333335E-2</v>
      </c>
      <c r="I35" s="1060">
        <f t="shared" si="3"/>
        <v>0.36996055550000001</v>
      </c>
      <c r="J35" s="1060">
        <f t="shared" si="3"/>
        <v>1.0833333333333334E-2</v>
      </c>
      <c r="K35" s="1060">
        <f t="shared" si="3"/>
        <v>0.25765302783333327</v>
      </c>
      <c r="L35" s="1060">
        <f t="shared" si="3"/>
        <v>0.57783030549999992</v>
      </c>
      <c r="M35" s="1060">
        <f t="shared" si="3"/>
        <v>5.1990729166666673E-2</v>
      </c>
      <c r="N35" s="818" t="s">
        <v>2376</v>
      </c>
      <c r="O35" s="1060">
        <f t="shared" ref="O35:Z35" si="4">SUM(O36:O47)/12</f>
        <v>0.417658549951267</v>
      </c>
      <c r="P35" s="1060">
        <f t="shared" si="4"/>
        <v>0.42778127485021789</v>
      </c>
      <c r="Q35" s="1060">
        <f t="shared" si="4"/>
        <v>0.25705915530303031</v>
      </c>
      <c r="R35" s="1060">
        <f t="shared" si="4"/>
        <v>0.39406351697994985</v>
      </c>
      <c r="S35" s="1060">
        <f t="shared" si="4"/>
        <v>0.5138648752314815</v>
      </c>
      <c r="T35" s="1060">
        <f t="shared" si="4"/>
        <v>0.27559262629540598</v>
      </c>
      <c r="U35" s="1060">
        <f t="shared" si="4"/>
        <v>0.71116524939227155</v>
      </c>
      <c r="V35" s="1060">
        <f t="shared" si="4"/>
        <v>0.68667745396825397</v>
      </c>
      <c r="W35" s="1060">
        <f t="shared" si="4"/>
        <v>0.4250588182539683</v>
      </c>
      <c r="X35" s="1060">
        <f t="shared" si="4"/>
        <v>0.81893196351991071</v>
      </c>
      <c r="Y35" s="1060">
        <f t="shared" si="4"/>
        <v>1.0508996562908497</v>
      </c>
      <c r="Z35" s="1060">
        <f t="shared" si="4"/>
        <v>0.52704765201465198</v>
      </c>
      <c r="AA35" s="818" t="s">
        <v>2376</v>
      </c>
      <c r="AB35" s="1060">
        <f t="shared" ref="AB35:AM35" si="5">SUM(AB36:AB47)/12</f>
        <v>1.0156928895833335</v>
      </c>
      <c r="AC35" s="1060">
        <f t="shared" si="5"/>
        <v>0.41749176666666665</v>
      </c>
      <c r="AD35" s="1060">
        <f t="shared" si="5"/>
        <v>0.46336752083333338</v>
      </c>
      <c r="AE35" s="1060">
        <f t="shared" si="5"/>
        <v>1.1542176916666664</v>
      </c>
      <c r="AF35" s="1060">
        <f t="shared" si="5"/>
        <v>0.57261966666666686</v>
      </c>
      <c r="AG35" s="1060">
        <f t="shared" si="5"/>
        <v>0.58483106666666662</v>
      </c>
      <c r="AH35" s="1060">
        <f t="shared" si="5"/>
        <v>0.76716723611111093</v>
      </c>
      <c r="AI35" s="1060">
        <f t="shared" si="5"/>
        <v>0.67324468055555553</v>
      </c>
      <c r="AJ35" s="1060">
        <f t="shared" si="5"/>
        <v>0.98999999999999988</v>
      </c>
      <c r="AK35" s="1060">
        <f t="shared" si="5"/>
        <v>0.94661391388888882</v>
      </c>
      <c r="AL35" s="1060">
        <f t="shared" si="5"/>
        <v>0.87057560555555547</v>
      </c>
      <c r="AM35" s="1060">
        <f t="shared" si="5"/>
        <v>1.0833333333333333</v>
      </c>
    </row>
    <row r="36" spans="1:39" s="482" customFormat="1" ht="11.1" customHeight="1">
      <c r="A36" s="1066" t="s">
        <v>1211</v>
      </c>
      <c r="B36" s="823">
        <v>0.05</v>
      </c>
      <c r="C36" s="823">
        <v>0.22</v>
      </c>
      <c r="D36" s="823">
        <v>0</v>
      </c>
      <c r="E36" s="823">
        <v>0.05</v>
      </c>
      <c r="F36" s="823">
        <v>0.28000000000000003</v>
      </c>
      <c r="G36" s="823">
        <v>7.0000000000000007E-2</v>
      </c>
      <c r="H36" s="823">
        <v>7.0000000000000007E-2</v>
      </c>
      <c r="I36" s="823">
        <v>0.42</v>
      </c>
      <c r="J36" s="823">
        <v>0.03</v>
      </c>
      <c r="K36" s="823">
        <v>0.23</v>
      </c>
      <c r="L36" s="823">
        <v>0.68</v>
      </c>
      <c r="M36" s="823">
        <v>0.16</v>
      </c>
      <c r="N36" s="1066" t="s">
        <v>1211</v>
      </c>
      <c r="O36" s="823">
        <v>0.48</v>
      </c>
      <c r="P36" s="823">
        <v>0.43</v>
      </c>
      <c r="Q36" s="823">
        <v>0.24</v>
      </c>
      <c r="R36" s="823">
        <v>0.43</v>
      </c>
      <c r="S36" s="823">
        <v>0.51</v>
      </c>
      <c r="T36" s="823">
        <v>0.28000000000000003</v>
      </c>
      <c r="U36" s="823">
        <v>0.72</v>
      </c>
      <c r="V36" s="823">
        <v>0.68</v>
      </c>
      <c r="W36" s="823">
        <v>0.44</v>
      </c>
      <c r="X36" s="823">
        <v>0.84</v>
      </c>
      <c r="Y36" s="823">
        <v>1.08</v>
      </c>
      <c r="Z36" s="823">
        <v>0.54</v>
      </c>
      <c r="AA36" s="1066" t="s">
        <v>1211</v>
      </c>
      <c r="AB36" s="823">
        <v>0.98</v>
      </c>
      <c r="AC36" s="823">
        <v>0.36</v>
      </c>
      <c r="AD36" s="823">
        <v>0.35</v>
      </c>
      <c r="AE36" s="823">
        <v>1.1200000000000001</v>
      </c>
      <c r="AF36" s="823">
        <v>0.49</v>
      </c>
      <c r="AG36" s="823">
        <v>0.56999999999999995</v>
      </c>
      <c r="AH36" s="823">
        <v>0.88</v>
      </c>
      <c r="AI36" s="823">
        <v>0.64</v>
      </c>
      <c r="AJ36" s="823">
        <v>1</v>
      </c>
      <c r="AK36" s="823">
        <v>0.99</v>
      </c>
      <c r="AL36" s="823">
        <v>0.87</v>
      </c>
      <c r="AM36" s="823">
        <v>1.06</v>
      </c>
    </row>
    <row r="37" spans="1:39" s="482" customFormat="1" ht="11.1" customHeight="1">
      <c r="A37" s="884" t="s">
        <v>1212</v>
      </c>
      <c r="B37" s="1074">
        <v>0.05</v>
      </c>
      <c r="C37" s="1074">
        <v>0.22</v>
      </c>
      <c r="D37" s="1074">
        <v>0</v>
      </c>
      <c r="E37" s="1074">
        <v>0.05</v>
      </c>
      <c r="F37" s="1074">
        <v>0.28000000000000003</v>
      </c>
      <c r="G37" s="1074">
        <v>7.0000000000000007E-2</v>
      </c>
      <c r="H37" s="1074">
        <v>7.0000000000000007E-2</v>
      </c>
      <c r="I37" s="1074">
        <v>0.43</v>
      </c>
      <c r="J37" s="1074">
        <v>0.03</v>
      </c>
      <c r="K37" s="1074">
        <v>0.25</v>
      </c>
      <c r="L37" s="1074">
        <v>0.7</v>
      </c>
      <c r="M37" s="1074">
        <v>0.16</v>
      </c>
      <c r="N37" s="884" t="s">
        <v>1212</v>
      </c>
      <c r="O37" s="1074">
        <v>0.44</v>
      </c>
      <c r="P37" s="1074">
        <v>0.44</v>
      </c>
      <c r="Q37" s="1074">
        <v>0.22</v>
      </c>
      <c r="R37" s="1074">
        <v>0.41</v>
      </c>
      <c r="S37" s="1074">
        <v>0.51</v>
      </c>
      <c r="T37" s="1074">
        <v>0.27</v>
      </c>
      <c r="U37" s="1074">
        <v>0.69</v>
      </c>
      <c r="V37" s="1074">
        <v>0.68</v>
      </c>
      <c r="W37" s="1074">
        <v>0.44</v>
      </c>
      <c r="X37" s="1074">
        <v>0.78</v>
      </c>
      <c r="Y37" s="1074">
        <v>1.07</v>
      </c>
      <c r="Z37" s="1074">
        <v>0.55000000000000004</v>
      </c>
      <c r="AA37" s="884" t="s">
        <v>1212</v>
      </c>
      <c r="AB37" s="1074">
        <v>0.98</v>
      </c>
      <c r="AC37" s="1074">
        <v>0.36</v>
      </c>
      <c r="AD37" s="1074">
        <v>0.35</v>
      </c>
      <c r="AE37" s="1074">
        <v>1.1299999999999999</v>
      </c>
      <c r="AF37" s="1074">
        <v>0.49</v>
      </c>
      <c r="AG37" s="1074">
        <v>0.56999999999999995</v>
      </c>
      <c r="AH37" s="1074">
        <v>0.87</v>
      </c>
      <c r="AI37" s="1074">
        <v>0.64</v>
      </c>
      <c r="AJ37" s="1074">
        <v>1</v>
      </c>
      <c r="AK37" s="1074">
        <v>0.94</v>
      </c>
      <c r="AL37" s="1074">
        <v>0.87</v>
      </c>
      <c r="AM37" s="1074">
        <v>1.06</v>
      </c>
    </row>
    <row r="38" spans="1:39" s="482" customFormat="1" ht="11.1" customHeight="1">
      <c r="A38" s="1093" t="s">
        <v>1206</v>
      </c>
      <c r="B38" s="823">
        <v>0.05</v>
      </c>
      <c r="C38" s="823">
        <v>0.23</v>
      </c>
      <c r="D38" s="823">
        <v>0</v>
      </c>
      <c r="E38" s="823">
        <v>0.05</v>
      </c>
      <c r="F38" s="823">
        <v>0.28999999999999998</v>
      </c>
      <c r="G38" s="823">
        <v>7.0000000000000007E-2</v>
      </c>
      <c r="H38" s="823">
        <v>7.0000000000000007E-2</v>
      </c>
      <c r="I38" s="823">
        <v>0.43</v>
      </c>
      <c r="J38" s="823">
        <v>7.0000000000000007E-2</v>
      </c>
      <c r="K38" s="823">
        <v>0.25</v>
      </c>
      <c r="L38" s="823">
        <v>0.69</v>
      </c>
      <c r="M38" s="823">
        <v>0.09</v>
      </c>
      <c r="N38" s="1093" t="s">
        <v>1206</v>
      </c>
      <c r="O38" s="823">
        <v>0.44</v>
      </c>
      <c r="P38" s="823">
        <v>0.43</v>
      </c>
      <c r="Q38" s="823">
        <v>0.26</v>
      </c>
      <c r="R38" s="823">
        <v>0.41</v>
      </c>
      <c r="S38" s="823">
        <v>0.51</v>
      </c>
      <c r="T38" s="823">
        <v>0.27</v>
      </c>
      <c r="U38" s="823">
        <v>0.68</v>
      </c>
      <c r="V38" s="823">
        <v>0.68</v>
      </c>
      <c r="W38" s="823">
        <v>0.44</v>
      </c>
      <c r="X38" s="823">
        <v>0.78</v>
      </c>
      <c r="Y38" s="823">
        <v>1.06</v>
      </c>
      <c r="Z38" s="823">
        <v>0.53</v>
      </c>
      <c r="AA38" s="1093" t="s">
        <v>1206</v>
      </c>
      <c r="AB38" s="823">
        <v>0.98</v>
      </c>
      <c r="AC38" s="823">
        <v>0.36</v>
      </c>
      <c r="AD38" s="823">
        <v>0.35</v>
      </c>
      <c r="AE38" s="823">
        <v>1.1299999999999999</v>
      </c>
      <c r="AF38" s="823">
        <v>0.49</v>
      </c>
      <c r="AG38" s="823">
        <v>0.56999999999999995</v>
      </c>
      <c r="AH38" s="823">
        <v>0.86</v>
      </c>
      <c r="AI38" s="823">
        <v>0.64</v>
      </c>
      <c r="AJ38" s="823">
        <v>1</v>
      </c>
      <c r="AK38" s="823">
        <v>0.94</v>
      </c>
      <c r="AL38" s="823">
        <v>0.87</v>
      </c>
      <c r="AM38" s="823">
        <v>1.06</v>
      </c>
    </row>
    <row r="39" spans="1:39" s="482" customFormat="1" ht="11.1" customHeight="1">
      <c r="A39" s="884" t="s">
        <v>1213</v>
      </c>
      <c r="B39" s="1074">
        <v>0.05</v>
      </c>
      <c r="C39" s="1074">
        <v>0.23</v>
      </c>
      <c r="D39" s="1074">
        <v>0</v>
      </c>
      <c r="E39" s="1074">
        <v>0.05</v>
      </c>
      <c r="F39" s="1074">
        <v>0.28999999999999998</v>
      </c>
      <c r="G39" s="1074">
        <v>0</v>
      </c>
      <c r="H39" s="1074">
        <v>7.0000000000000007E-2</v>
      </c>
      <c r="I39" s="1074">
        <v>0.43</v>
      </c>
      <c r="J39" s="1074">
        <v>0</v>
      </c>
      <c r="K39" s="1074">
        <v>0.25</v>
      </c>
      <c r="L39" s="1074">
        <v>0.68</v>
      </c>
      <c r="M39" s="1074">
        <v>0.05</v>
      </c>
      <c r="N39" s="884" t="s">
        <v>1213</v>
      </c>
      <c r="O39" s="1074">
        <v>0.44</v>
      </c>
      <c r="P39" s="1074">
        <v>0.42</v>
      </c>
      <c r="Q39" s="1074">
        <v>0.2</v>
      </c>
      <c r="R39" s="1074">
        <v>0.41</v>
      </c>
      <c r="S39" s="1074">
        <v>0.51</v>
      </c>
      <c r="T39" s="1074">
        <v>0.25</v>
      </c>
      <c r="U39" s="1074">
        <v>0.68</v>
      </c>
      <c r="V39" s="1074">
        <v>0.67</v>
      </c>
      <c r="W39" s="1074">
        <v>0.41</v>
      </c>
      <c r="X39" s="1074">
        <v>0.76</v>
      </c>
      <c r="Y39" s="1074">
        <v>0.99</v>
      </c>
      <c r="Z39" s="1074">
        <v>0.53</v>
      </c>
      <c r="AA39" s="884" t="s">
        <v>1213</v>
      </c>
      <c r="AB39" s="1074">
        <v>0.99</v>
      </c>
      <c r="AC39" s="1074">
        <v>0.36</v>
      </c>
      <c r="AD39" s="1074">
        <v>0.35</v>
      </c>
      <c r="AE39" s="1074">
        <v>1.1299999999999999</v>
      </c>
      <c r="AF39" s="1074">
        <v>0.49</v>
      </c>
      <c r="AG39" s="1074">
        <v>0.56999999999999995</v>
      </c>
      <c r="AH39" s="1074">
        <v>0.83</v>
      </c>
      <c r="AI39" s="1074">
        <v>0.65</v>
      </c>
      <c r="AJ39" s="1074">
        <v>1</v>
      </c>
      <c r="AK39" s="1074">
        <v>0.94</v>
      </c>
      <c r="AL39" s="1074">
        <v>0.87</v>
      </c>
      <c r="AM39" s="1074">
        <v>1.06</v>
      </c>
    </row>
    <row r="40" spans="1:39" s="482" customFormat="1" ht="11.1" customHeight="1">
      <c r="A40" s="1114" t="s">
        <v>1214</v>
      </c>
      <c r="B40" s="823">
        <v>0.05</v>
      </c>
      <c r="C40" s="823">
        <v>0.23</v>
      </c>
      <c r="D40" s="823">
        <v>0</v>
      </c>
      <c r="E40" s="823">
        <v>0.05</v>
      </c>
      <c r="F40" s="823">
        <v>0.28000000000000003</v>
      </c>
      <c r="G40" s="823">
        <v>0</v>
      </c>
      <c r="H40" s="823">
        <v>7.0000000000000007E-2</v>
      </c>
      <c r="I40" s="823">
        <v>0.41</v>
      </c>
      <c r="J40" s="823">
        <v>0</v>
      </c>
      <c r="K40" s="823">
        <v>0.24</v>
      </c>
      <c r="L40" s="823">
        <v>0.65</v>
      </c>
      <c r="M40" s="823">
        <v>0.06</v>
      </c>
      <c r="N40" s="1114" t="s">
        <v>1214</v>
      </c>
      <c r="O40" s="823">
        <v>0.42</v>
      </c>
      <c r="P40" s="823">
        <v>0.42</v>
      </c>
      <c r="Q40" s="823">
        <v>0.22</v>
      </c>
      <c r="R40" s="823">
        <v>0.37</v>
      </c>
      <c r="S40" s="823">
        <v>0.51</v>
      </c>
      <c r="T40" s="823">
        <v>0.25</v>
      </c>
      <c r="U40" s="823">
        <v>0.68</v>
      </c>
      <c r="V40" s="823">
        <v>0.67</v>
      </c>
      <c r="W40" s="823">
        <v>0.41</v>
      </c>
      <c r="X40" s="823">
        <v>0.79</v>
      </c>
      <c r="Y40" s="823">
        <v>1.04</v>
      </c>
      <c r="Z40" s="823">
        <v>0.53</v>
      </c>
      <c r="AA40" s="1114" t="s">
        <v>1214</v>
      </c>
      <c r="AB40" s="823">
        <v>1.07</v>
      </c>
      <c r="AC40" s="823">
        <v>0.36</v>
      </c>
      <c r="AD40" s="823">
        <v>0.35</v>
      </c>
      <c r="AE40" s="823">
        <v>1.19</v>
      </c>
      <c r="AF40" s="823">
        <v>0.49</v>
      </c>
      <c r="AG40" s="823">
        <v>0.56999999999999995</v>
      </c>
      <c r="AH40" s="823">
        <v>0.69</v>
      </c>
      <c r="AI40" s="823">
        <v>0.65</v>
      </c>
      <c r="AJ40" s="823">
        <v>1</v>
      </c>
      <c r="AK40" s="823">
        <v>0.94</v>
      </c>
      <c r="AL40" s="823">
        <v>0.87</v>
      </c>
      <c r="AM40" s="823">
        <v>0.94</v>
      </c>
    </row>
    <row r="41" spans="1:39" s="482" customFormat="1" ht="9.75" customHeight="1">
      <c r="A41" s="884" t="s">
        <v>1207</v>
      </c>
      <c r="B41" s="1074">
        <v>0.05</v>
      </c>
      <c r="C41" s="1074">
        <v>0.18</v>
      </c>
      <c r="D41" s="1074">
        <v>0</v>
      </c>
      <c r="E41" s="1074">
        <v>0.05</v>
      </c>
      <c r="F41" s="1074">
        <v>0.22</v>
      </c>
      <c r="G41" s="1074">
        <v>0</v>
      </c>
      <c r="H41" s="1074">
        <v>0.06</v>
      </c>
      <c r="I41" s="1074">
        <v>0.32</v>
      </c>
      <c r="J41" s="1074">
        <v>0</v>
      </c>
      <c r="K41" s="1074">
        <v>0.21</v>
      </c>
      <c r="L41" s="1074">
        <v>0.5</v>
      </c>
      <c r="M41" s="1074">
        <v>0.04</v>
      </c>
      <c r="N41" s="884" t="s">
        <v>1207</v>
      </c>
      <c r="O41" s="1074">
        <v>0.42</v>
      </c>
      <c r="P41" s="1074">
        <v>0.42</v>
      </c>
      <c r="Q41" s="1074">
        <v>0.2</v>
      </c>
      <c r="R41" s="1074">
        <v>0.38</v>
      </c>
      <c r="S41" s="1074">
        <v>0.51</v>
      </c>
      <c r="T41" s="1074">
        <v>0.26</v>
      </c>
      <c r="U41" s="1074">
        <v>0.67</v>
      </c>
      <c r="V41" s="1074">
        <v>0.67</v>
      </c>
      <c r="W41" s="1074">
        <v>0.42</v>
      </c>
      <c r="X41" s="1074">
        <v>0.81</v>
      </c>
      <c r="Y41" s="1074">
        <v>1.04</v>
      </c>
      <c r="Z41" s="1074">
        <v>0.51</v>
      </c>
      <c r="AA41" s="884" t="s">
        <v>1207</v>
      </c>
      <c r="AB41" s="1074">
        <v>1.07</v>
      </c>
      <c r="AC41" s="1074">
        <v>0.36</v>
      </c>
      <c r="AD41" s="1074">
        <v>0.35</v>
      </c>
      <c r="AE41" s="1074">
        <v>1.19</v>
      </c>
      <c r="AF41" s="1074">
        <v>0.49</v>
      </c>
      <c r="AG41" s="1074">
        <v>0.56999999999999995</v>
      </c>
      <c r="AH41" s="1074">
        <v>0.68</v>
      </c>
      <c r="AI41" s="1074">
        <v>0.65</v>
      </c>
      <c r="AJ41" s="1074">
        <v>1</v>
      </c>
      <c r="AK41" s="1074">
        <v>0.94</v>
      </c>
      <c r="AL41" s="1074">
        <v>0.87</v>
      </c>
      <c r="AM41" s="1074">
        <v>1.06</v>
      </c>
    </row>
    <row r="42" spans="1:39" s="482" customFormat="1" ht="10.5" customHeight="1">
      <c r="A42" s="1153" t="s">
        <v>1215</v>
      </c>
      <c r="B42" s="823">
        <v>0.06</v>
      </c>
      <c r="C42" s="823">
        <v>0.18113800000000002</v>
      </c>
      <c r="D42" s="823">
        <v>0</v>
      </c>
      <c r="E42" s="823">
        <v>1.8624999999999999E-2</v>
      </c>
      <c r="F42" s="823">
        <v>0.22910800000000001</v>
      </c>
      <c r="G42" s="823">
        <v>0</v>
      </c>
      <c r="H42" s="823">
        <v>7.7829999999999996E-2</v>
      </c>
      <c r="I42" s="823">
        <v>0.32764300000000002</v>
      </c>
      <c r="J42" s="823">
        <v>0</v>
      </c>
      <c r="K42" s="823">
        <v>0.23585999999999999</v>
      </c>
      <c r="L42" s="823">
        <v>0.49899100000000002</v>
      </c>
      <c r="M42" s="823">
        <v>2.388875E-2</v>
      </c>
      <c r="N42" s="1153" t="s">
        <v>1215</v>
      </c>
      <c r="O42" s="823">
        <v>0.41801666666666665</v>
      </c>
      <c r="P42" s="823">
        <v>0.44923062500000011</v>
      </c>
      <c r="Q42" s="823">
        <v>0.26161886363636366</v>
      </c>
      <c r="R42" s="823">
        <v>0.40351578947368422</v>
      </c>
      <c r="S42" s="823">
        <v>0.5407581250000002</v>
      </c>
      <c r="T42" s="823">
        <v>0.28137355000000003</v>
      </c>
      <c r="U42" s="823">
        <v>0.78078235294117659</v>
      </c>
      <c r="V42" s="823">
        <v>0.71650071428571427</v>
      </c>
      <c r="W42" s="823">
        <v>0.47436583333333338</v>
      </c>
      <c r="X42" s="823">
        <v>0.86214444444444438</v>
      </c>
      <c r="Y42" s="823">
        <v>1.1025086666666664</v>
      </c>
      <c r="Z42" s="823">
        <v>0.55415223846153849</v>
      </c>
      <c r="AA42" s="1153" t="s">
        <v>1215</v>
      </c>
      <c r="AB42" s="823">
        <v>1.0730656999999999</v>
      </c>
      <c r="AC42" s="823">
        <v>0.42300176666666661</v>
      </c>
      <c r="AD42" s="823">
        <v>0.5983617</v>
      </c>
      <c r="AE42" s="823">
        <v>1.2125537</v>
      </c>
      <c r="AF42" s="823">
        <v>0.63174566666666665</v>
      </c>
      <c r="AG42" s="823">
        <v>0.57297279999999995</v>
      </c>
      <c r="AH42" s="823">
        <v>0.72076333333333342</v>
      </c>
      <c r="AI42" s="823">
        <v>0.72447076666666665</v>
      </c>
      <c r="AJ42" s="823">
        <v>1</v>
      </c>
      <c r="AK42" s="823">
        <v>0.93471330000000008</v>
      </c>
      <c r="AL42" s="823">
        <v>0.87204420000000005</v>
      </c>
      <c r="AM42" s="823">
        <v>1.0649999999999999</v>
      </c>
    </row>
    <row r="43" spans="1:39" s="482" customFormat="1" ht="11.1" customHeight="1">
      <c r="A43" s="884" t="s">
        <v>1216</v>
      </c>
      <c r="B43" s="1074">
        <v>6.9999999999999993E-2</v>
      </c>
      <c r="C43" s="1074">
        <v>0.18104399999999998</v>
      </c>
      <c r="D43" s="1074">
        <v>0</v>
      </c>
      <c r="E43" s="1074">
        <v>2.8366666666666672E-2</v>
      </c>
      <c r="F43" s="1074">
        <v>0.22928300000000001</v>
      </c>
      <c r="G43" s="1074">
        <v>0</v>
      </c>
      <c r="H43" s="1074">
        <v>8.2220000000000001E-2</v>
      </c>
      <c r="I43" s="1074">
        <v>0.32517299999999999</v>
      </c>
      <c r="J43" s="1074">
        <v>0</v>
      </c>
      <c r="K43" s="1074">
        <v>0.24823000000000003</v>
      </c>
      <c r="L43" s="1074">
        <v>0.49143900000000001</v>
      </c>
      <c r="M43" s="1074">
        <v>0.04</v>
      </c>
      <c r="N43" s="884" t="s">
        <v>1216</v>
      </c>
      <c r="O43" s="1074">
        <v>0.40194722222222218</v>
      </c>
      <c r="P43" s="1074">
        <v>0.43121411764705886</v>
      </c>
      <c r="Q43" s="1074">
        <v>0.28685699999999997</v>
      </c>
      <c r="R43" s="1074">
        <v>0.39089499999999994</v>
      </c>
      <c r="S43" s="1074">
        <v>0.52317000000000002</v>
      </c>
      <c r="T43" s="1074">
        <v>0.2580953333333334</v>
      </c>
      <c r="U43" s="1074">
        <v>0.74878055555555556</v>
      </c>
      <c r="V43" s="1074">
        <v>0.68852133333333343</v>
      </c>
      <c r="W43" s="1074">
        <v>0.40382642857142864</v>
      </c>
      <c r="X43" s="1074">
        <v>0.83234473684210497</v>
      </c>
      <c r="Y43" s="1074">
        <v>1.06260625</v>
      </c>
      <c r="Z43" s="1074">
        <v>0.50836785714285704</v>
      </c>
      <c r="AA43" s="884" t="s">
        <v>1216</v>
      </c>
      <c r="AB43" s="1074">
        <v>1.0027408000000002</v>
      </c>
      <c r="AC43" s="1074">
        <v>0.47161936666666671</v>
      </c>
      <c r="AD43" s="1074">
        <v>0.58892074999999999</v>
      </c>
      <c r="AE43" s="1074">
        <v>1.140925175</v>
      </c>
      <c r="AF43" s="1074">
        <v>0.69574639999999999</v>
      </c>
      <c r="AG43" s="1074">
        <v>0.57499999999999996</v>
      </c>
      <c r="AH43" s="1074">
        <v>0.74115146666666676</v>
      </c>
      <c r="AI43" s="1074">
        <v>0.68594446666666664</v>
      </c>
      <c r="AJ43" s="1074">
        <v>1</v>
      </c>
      <c r="AK43" s="1074">
        <v>0.93585230000000008</v>
      </c>
      <c r="AL43" s="1074">
        <v>0.87145686666666666</v>
      </c>
      <c r="AM43" s="1074">
        <v>1.0649999999999999</v>
      </c>
    </row>
    <row r="44" spans="1:39" s="482" customFormat="1" ht="11.1" customHeight="1">
      <c r="A44" s="1172" t="s">
        <v>1208</v>
      </c>
      <c r="B44" s="823">
        <v>6.9999999999999993E-2</v>
      </c>
      <c r="C44" s="823">
        <v>0.183721</v>
      </c>
      <c r="D44" s="823">
        <v>0</v>
      </c>
      <c r="E44" s="823">
        <v>2.3175000000000001E-2</v>
      </c>
      <c r="F44" s="823">
        <v>0.229264</v>
      </c>
      <c r="G44" s="823">
        <v>0</v>
      </c>
      <c r="H44" s="823">
        <v>9.6860000000000002E-2</v>
      </c>
      <c r="I44" s="823">
        <v>0.32745400000000002</v>
      </c>
      <c r="J44" s="823">
        <v>0</v>
      </c>
      <c r="K44" s="823">
        <v>0.27707499999999996</v>
      </c>
      <c r="L44" s="823">
        <v>0.50451100000000004</v>
      </c>
      <c r="M44" s="823">
        <v>0</v>
      </c>
      <c r="N44" s="1172" t="s">
        <v>1208</v>
      </c>
      <c r="O44" s="823">
        <v>0.38566788947368413</v>
      </c>
      <c r="P44" s="823">
        <v>0.42078833333333349</v>
      </c>
      <c r="Q44" s="823">
        <v>0.24852000000000005</v>
      </c>
      <c r="R44" s="823">
        <v>0.3815421047619047</v>
      </c>
      <c r="S44" s="823">
        <v>0.51131093333333344</v>
      </c>
      <c r="T44" s="823">
        <v>0.24860529375000001</v>
      </c>
      <c r="U44" s="823">
        <v>0.72651925263157902</v>
      </c>
      <c r="V44" s="823">
        <v>0.67094983750000015</v>
      </c>
      <c r="W44" s="823">
        <v>0.41307274285714279</v>
      </c>
      <c r="X44" s="823">
        <v>0.83260413333333327</v>
      </c>
      <c r="Y44" s="823">
        <v>1.0127391352941175</v>
      </c>
      <c r="Z44" s="823">
        <v>0.55878029999999979</v>
      </c>
      <c r="AA44" s="1172" t="s">
        <v>1208</v>
      </c>
      <c r="AB44" s="823">
        <v>1.0108139750000003</v>
      </c>
      <c r="AC44" s="823">
        <v>0.5176400333333333</v>
      </c>
      <c r="AD44" s="823">
        <v>0.55656390000000011</v>
      </c>
      <c r="AE44" s="823">
        <v>1.1434685750000002</v>
      </c>
      <c r="AF44" s="823">
        <v>0.65697196666666668</v>
      </c>
      <c r="AG44" s="823">
        <v>0.55999999999999994</v>
      </c>
      <c r="AH44" s="823">
        <v>0.75532270000000001</v>
      </c>
      <c r="AI44" s="823">
        <v>0.68926046666666663</v>
      </c>
      <c r="AJ44" s="823">
        <v>1</v>
      </c>
      <c r="AK44" s="823">
        <v>0.94938166666666668</v>
      </c>
      <c r="AL44" s="823">
        <v>0.87170309999999995</v>
      </c>
      <c r="AM44" s="823">
        <v>1.0649999999999999</v>
      </c>
    </row>
    <row r="45" spans="1:39" s="482" customFormat="1" ht="11.1" customHeight="1">
      <c r="A45" s="884" t="s">
        <v>1217</v>
      </c>
      <c r="B45" s="1074">
        <v>6.9999999999999993E-2</v>
      </c>
      <c r="C45" s="1074">
        <v>0.18157566600000002</v>
      </c>
      <c r="D45" s="1074">
        <v>0</v>
      </c>
      <c r="E45" s="1074">
        <v>2.7270000000000003E-2</v>
      </c>
      <c r="F45" s="1074">
        <v>0.23241533400000003</v>
      </c>
      <c r="G45" s="1074">
        <v>0</v>
      </c>
      <c r="H45" s="1074">
        <v>0.10533000000000001</v>
      </c>
      <c r="I45" s="1074">
        <v>0.32925666600000003</v>
      </c>
      <c r="J45" s="1074">
        <v>0</v>
      </c>
      <c r="K45" s="1074">
        <v>0.28067133399999999</v>
      </c>
      <c r="L45" s="1074">
        <v>0.49902266599999995</v>
      </c>
      <c r="M45" s="1074">
        <v>0</v>
      </c>
      <c r="N45" s="884" t="s">
        <v>1217</v>
      </c>
      <c r="O45" s="1074">
        <v>0.38627082105263155</v>
      </c>
      <c r="P45" s="1074">
        <v>0.42214222222222242</v>
      </c>
      <c r="Q45" s="1074">
        <v>0.28771399999999997</v>
      </c>
      <c r="R45" s="1074">
        <v>0.38280930952380948</v>
      </c>
      <c r="S45" s="1074">
        <v>0.51113944444444448</v>
      </c>
      <c r="T45" s="1074">
        <v>0.29903733846153846</v>
      </c>
      <c r="U45" s="1074">
        <v>0.72790083157894758</v>
      </c>
      <c r="V45" s="1074">
        <v>0.67415756250000003</v>
      </c>
      <c r="W45" s="1074">
        <v>0.40944081428571427</v>
      </c>
      <c r="X45" s="1074">
        <v>0.83009024761904771</v>
      </c>
      <c r="Y45" s="1074">
        <v>1.0429418235294119</v>
      </c>
      <c r="Z45" s="1074">
        <v>0.51327142857142849</v>
      </c>
      <c r="AA45" s="884" t="s">
        <v>1217</v>
      </c>
      <c r="AB45" s="1074">
        <v>1.0116942</v>
      </c>
      <c r="AC45" s="1074">
        <v>0.5176400333333333</v>
      </c>
      <c r="AD45" s="1074">
        <v>0.55656390000000011</v>
      </c>
      <c r="AE45" s="1074">
        <v>1.1436648500000002</v>
      </c>
      <c r="AF45" s="1074">
        <v>0.65697196666666668</v>
      </c>
      <c r="AG45" s="1074">
        <v>0.55999999999999994</v>
      </c>
      <c r="AH45" s="1074">
        <v>0.7587693333333333</v>
      </c>
      <c r="AI45" s="1074">
        <v>0.68926046666666663</v>
      </c>
      <c r="AJ45" s="1074">
        <v>1</v>
      </c>
      <c r="AK45" s="1074">
        <v>0.94941970000000009</v>
      </c>
      <c r="AL45" s="1074">
        <v>0.87170309999999995</v>
      </c>
      <c r="AM45" s="1074">
        <v>1.0649999999999999</v>
      </c>
    </row>
    <row r="46" spans="1:39" s="482" customFormat="1" ht="11.1" customHeight="1">
      <c r="A46" s="1215" t="s">
        <v>1218</v>
      </c>
      <c r="B46" s="823">
        <v>0.08</v>
      </c>
      <c r="C46" s="823">
        <v>0.19</v>
      </c>
      <c r="D46" s="823">
        <v>0</v>
      </c>
      <c r="E46" s="823">
        <v>0.03</v>
      </c>
      <c r="F46" s="823">
        <v>0.23</v>
      </c>
      <c r="G46" s="823">
        <v>0</v>
      </c>
      <c r="H46" s="823">
        <v>0.11</v>
      </c>
      <c r="I46" s="823">
        <v>0.34</v>
      </c>
      <c r="J46" s="823">
        <v>0</v>
      </c>
      <c r="K46" s="823">
        <v>0.3</v>
      </c>
      <c r="L46" s="823">
        <v>0.52</v>
      </c>
      <c r="M46" s="823">
        <v>0</v>
      </c>
      <c r="N46" s="1215" t="s">
        <v>1218</v>
      </c>
      <c r="O46" s="823">
        <v>0.39</v>
      </c>
      <c r="P46" s="823">
        <v>0.42</v>
      </c>
      <c r="Q46" s="823">
        <v>0.28999999999999998</v>
      </c>
      <c r="R46" s="823">
        <v>0.38</v>
      </c>
      <c r="S46" s="823">
        <v>0.51</v>
      </c>
      <c r="T46" s="823">
        <v>0.32</v>
      </c>
      <c r="U46" s="823">
        <v>0.73</v>
      </c>
      <c r="V46" s="823">
        <v>0.68</v>
      </c>
      <c r="W46" s="823">
        <v>0.44</v>
      </c>
      <c r="X46" s="823">
        <v>0.84</v>
      </c>
      <c r="Y46" s="823">
        <v>1.05</v>
      </c>
      <c r="Z46" s="823">
        <v>0.5</v>
      </c>
      <c r="AA46" s="1215" t="s">
        <v>1218</v>
      </c>
      <c r="AB46" s="823">
        <v>0.99</v>
      </c>
      <c r="AC46" s="823">
        <v>0.44</v>
      </c>
      <c r="AD46" s="823">
        <v>0.6</v>
      </c>
      <c r="AE46" s="823">
        <v>1.1499999999999999</v>
      </c>
      <c r="AF46" s="823">
        <v>0.68</v>
      </c>
      <c r="AG46" s="823">
        <v>0.57999999999999996</v>
      </c>
      <c r="AH46" s="823">
        <v>0.73</v>
      </c>
      <c r="AI46" s="823">
        <v>0.71</v>
      </c>
      <c r="AJ46" s="823">
        <v>0.94</v>
      </c>
      <c r="AK46" s="823">
        <v>0.95</v>
      </c>
      <c r="AL46" s="823">
        <v>0.87</v>
      </c>
      <c r="AM46" s="823">
        <v>1.25</v>
      </c>
    </row>
    <row r="47" spans="1:39" s="482" customFormat="1" ht="9.75" customHeight="1">
      <c r="A47" s="884" t="s">
        <v>1209</v>
      </c>
      <c r="B47" s="1034">
        <v>0.08</v>
      </c>
      <c r="C47" s="1034">
        <v>0.19</v>
      </c>
      <c r="D47" s="1034">
        <v>0</v>
      </c>
      <c r="E47" s="1034">
        <v>0.04</v>
      </c>
      <c r="F47" s="1034">
        <v>0.23</v>
      </c>
      <c r="G47" s="1034">
        <v>0</v>
      </c>
      <c r="H47" s="1034">
        <v>0.13</v>
      </c>
      <c r="I47" s="1034">
        <v>0.35</v>
      </c>
      <c r="J47" s="1034">
        <v>0</v>
      </c>
      <c r="K47" s="1034">
        <v>0.32</v>
      </c>
      <c r="L47" s="1034">
        <v>0.52</v>
      </c>
      <c r="M47" s="1034">
        <v>0</v>
      </c>
      <c r="N47" s="884" t="s">
        <v>1209</v>
      </c>
      <c r="O47" s="1034">
        <v>0.39</v>
      </c>
      <c r="P47" s="1034">
        <v>0.43</v>
      </c>
      <c r="Q47" s="1034">
        <v>0.37</v>
      </c>
      <c r="R47" s="1034">
        <v>0.38</v>
      </c>
      <c r="S47" s="1034">
        <v>0.51</v>
      </c>
      <c r="T47" s="1034">
        <v>0.32</v>
      </c>
      <c r="U47" s="1034">
        <v>0.7</v>
      </c>
      <c r="V47" s="1034">
        <v>0.76</v>
      </c>
      <c r="W47" s="1034">
        <v>0.4</v>
      </c>
      <c r="X47" s="1034">
        <v>0.87</v>
      </c>
      <c r="Y47" s="1034">
        <v>1.06</v>
      </c>
      <c r="Z47" s="1034">
        <v>0.5</v>
      </c>
      <c r="AA47" s="884" t="s">
        <v>1209</v>
      </c>
      <c r="AB47" s="1034">
        <v>1.03</v>
      </c>
      <c r="AC47" s="1034">
        <v>0.48</v>
      </c>
      <c r="AD47" s="1034">
        <v>0.56000000000000005</v>
      </c>
      <c r="AE47" s="1034">
        <v>1.17</v>
      </c>
      <c r="AF47" s="1034">
        <v>0.61</v>
      </c>
      <c r="AG47" s="1034">
        <v>0.75</v>
      </c>
      <c r="AH47" s="1034">
        <v>0.69</v>
      </c>
      <c r="AI47" s="1034">
        <v>0.71</v>
      </c>
      <c r="AJ47" s="1034">
        <v>0.94</v>
      </c>
      <c r="AK47" s="1034">
        <v>0.95</v>
      </c>
      <c r="AL47" s="1034">
        <v>0.87</v>
      </c>
      <c r="AM47" s="1034">
        <v>1.25</v>
      </c>
    </row>
    <row r="48" spans="1:39" s="482" customFormat="1" ht="11.25" customHeight="1">
      <c r="A48" s="1455" t="s">
        <v>2608</v>
      </c>
      <c r="B48" s="1456">
        <f t="shared" ref="B48:AM48" si="6">SUM(B49:B60)/12</f>
        <v>0.13249999999999998</v>
      </c>
      <c r="C48" s="1456">
        <f t="shared" si="6"/>
        <v>0.18583333333333332</v>
      </c>
      <c r="D48" s="1456">
        <f t="shared" si="6"/>
        <v>0</v>
      </c>
      <c r="E48" s="1456">
        <f t="shared" si="6"/>
        <v>0.19583333333333333</v>
      </c>
      <c r="F48" s="1456">
        <f t="shared" si="6"/>
        <v>0.24333333333333332</v>
      </c>
      <c r="G48" s="1456">
        <f t="shared" si="6"/>
        <v>0</v>
      </c>
      <c r="H48" s="1456">
        <f t="shared" si="6"/>
        <v>0.34833333333333333</v>
      </c>
      <c r="I48" s="1456">
        <f t="shared" si="6"/>
        <v>0.36833333333333335</v>
      </c>
      <c r="J48" s="1456">
        <f t="shared" si="6"/>
        <v>0</v>
      </c>
      <c r="K48" s="1456">
        <f t="shared" si="6"/>
        <v>0.53416666666666668</v>
      </c>
      <c r="L48" s="1456">
        <f t="shared" si="6"/>
        <v>0.53833333333333333</v>
      </c>
      <c r="M48" s="1456">
        <f t="shared" si="6"/>
        <v>0</v>
      </c>
      <c r="N48" s="1455" t="s">
        <v>2608</v>
      </c>
      <c r="O48" s="1456">
        <f t="shared" si="6"/>
        <v>0.43916666666666665</v>
      </c>
      <c r="P48" s="1456">
        <f t="shared" si="6"/>
        <v>0.4283333333333334</v>
      </c>
      <c r="Q48" s="1456">
        <f t="shared" si="6"/>
        <v>0.29750000000000004</v>
      </c>
      <c r="R48" s="1456">
        <f t="shared" si="6"/>
        <v>0.47166666666666668</v>
      </c>
      <c r="S48" s="1456">
        <f t="shared" si="6"/>
        <v>0.50166666666666659</v>
      </c>
      <c r="T48" s="1456">
        <f t="shared" si="6"/>
        <v>0.3066666666666667</v>
      </c>
      <c r="U48" s="1456">
        <f t="shared" si="6"/>
        <v>1.1066666666666667</v>
      </c>
      <c r="V48" s="1456">
        <f t="shared" si="6"/>
        <v>0.70416666666666661</v>
      </c>
      <c r="W48" s="1456">
        <f t="shared" si="6"/>
        <v>0.48750000000000004</v>
      </c>
      <c r="X48" s="1456">
        <f t="shared" si="6"/>
        <v>1.1833333333333333</v>
      </c>
      <c r="Y48" s="1456">
        <f t="shared" si="6"/>
        <v>0.90083333333333326</v>
      </c>
      <c r="Z48" s="1456">
        <f t="shared" si="6"/>
        <v>0.51250000000000007</v>
      </c>
      <c r="AA48" s="1455" t="s">
        <v>2608</v>
      </c>
      <c r="AB48" s="1456">
        <f t="shared" si="6"/>
        <v>1.0274999999999999</v>
      </c>
      <c r="AC48" s="1456">
        <f t="shared" si="6"/>
        <v>0.43500000000000005</v>
      </c>
      <c r="AD48" s="1456">
        <f t="shared" si="6"/>
        <v>0.51666666666666672</v>
      </c>
      <c r="AE48" s="1456">
        <f t="shared" si="6"/>
        <v>1.1783333333333332</v>
      </c>
      <c r="AF48" s="1456">
        <f t="shared" si="6"/>
        <v>0.65</v>
      </c>
      <c r="AG48" s="1456">
        <f t="shared" si="6"/>
        <v>0.63166666666666671</v>
      </c>
      <c r="AH48" s="1456">
        <f t="shared" si="6"/>
        <v>0.83250000000000002</v>
      </c>
      <c r="AI48" s="1456">
        <f t="shared" si="6"/>
        <v>0.71166666666666656</v>
      </c>
      <c r="AJ48" s="1456">
        <f t="shared" si="6"/>
        <v>0.9</v>
      </c>
      <c r="AK48" s="1456">
        <f t="shared" si="6"/>
        <v>0.9558333333333332</v>
      </c>
      <c r="AL48" s="1456">
        <f t="shared" si="6"/>
        <v>0.89583333333333337</v>
      </c>
      <c r="AM48" s="1456">
        <f t="shared" si="6"/>
        <v>1.0983333333333334</v>
      </c>
    </row>
    <row r="49" spans="1:39" s="482" customFormat="1" ht="10.5" customHeight="1">
      <c r="A49" s="884" t="s">
        <v>1211</v>
      </c>
      <c r="B49" s="1034">
        <v>0.09</v>
      </c>
      <c r="C49" s="1034">
        <v>0.19</v>
      </c>
      <c r="D49" s="1034">
        <v>0</v>
      </c>
      <c r="E49" s="1034">
        <v>0.04</v>
      </c>
      <c r="F49" s="1034">
        <v>0.24</v>
      </c>
      <c r="G49" s="1034">
        <v>0</v>
      </c>
      <c r="H49" s="1034">
        <v>0.14000000000000001</v>
      </c>
      <c r="I49" s="1034">
        <v>0.37</v>
      </c>
      <c r="J49" s="1034">
        <v>0</v>
      </c>
      <c r="K49" s="1034">
        <v>0.33</v>
      </c>
      <c r="L49" s="1034">
        <v>0.55000000000000004</v>
      </c>
      <c r="M49" s="1034">
        <v>0</v>
      </c>
      <c r="N49" s="884" t="s">
        <v>1211</v>
      </c>
      <c r="O49" s="1034">
        <v>0.39</v>
      </c>
      <c r="P49" s="1034">
        <v>0.42</v>
      </c>
      <c r="Q49" s="1034">
        <v>0.28999999999999998</v>
      </c>
      <c r="R49" s="1034">
        <v>0.39</v>
      </c>
      <c r="S49" s="1034">
        <v>0.51</v>
      </c>
      <c r="T49" s="1034">
        <v>0.32</v>
      </c>
      <c r="U49" s="1034">
        <v>0.7</v>
      </c>
      <c r="V49" s="1034">
        <v>0.69</v>
      </c>
      <c r="W49" s="1034">
        <v>0.4</v>
      </c>
      <c r="X49" s="1034">
        <v>0.86</v>
      </c>
      <c r="Y49" s="1034">
        <v>1.07</v>
      </c>
      <c r="Z49" s="1034">
        <v>0.5</v>
      </c>
      <c r="AA49" s="884" t="s">
        <v>1211</v>
      </c>
      <c r="AB49" s="1034">
        <v>1.03</v>
      </c>
      <c r="AC49" s="1034">
        <v>0.38</v>
      </c>
      <c r="AD49" s="1034">
        <v>0.54</v>
      </c>
      <c r="AE49" s="1034">
        <v>1.1299999999999999</v>
      </c>
      <c r="AF49" s="1034">
        <v>0.61</v>
      </c>
      <c r="AG49" s="1034">
        <v>0.72</v>
      </c>
      <c r="AH49" s="1034">
        <v>0.73</v>
      </c>
      <c r="AI49" s="1034">
        <v>0.72</v>
      </c>
      <c r="AJ49" s="1034">
        <v>0.94</v>
      </c>
      <c r="AK49" s="1034">
        <v>0.95</v>
      </c>
      <c r="AL49" s="1034">
        <v>0.88</v>
      </c>
      <c r="AM49" s="1034">
        <v>1.25</v>
      </c>
    </row>
    <row r="50" spans="1:39" s="482" customFormat="1" ht="10.5" customHeight="1">
      <c r="A50" s="1338" t="s">
        <v>1212</v>
      </c>
      <c r="B50" s="823">
        <v>0.09</v>
      </c>
      <c r="C50" s="823">
        <v>0.19</v>
      </c>
      <c r="D50" s="823">
        <v>0</v>
      </c>
      <c r="E50" s="823">
        <v>0.05</v>
      </c>
      <c r="F50" s="823">
        <v>0.25</v>
      </c>
      <c r="G50" s="823">
        <v>0</v>
      </c>
      <c r="H50" s="823">
        <v>0.17</v>
      </c>
      <c r="I50" s="823">
        <v>0.38</v>
      </c>
      <c r="J50" s="823">
        <v>0</v>
      </c>
      <c r="K50" s="823">
        <v>0.37</v>
      </c>
      <c r="L50" s="823">
        <v>0.56999999999999995</v>
      </c>
      <c r="M50" s="823">
        <v>0</v>
      </c>
      <c r="N50" s="1338" t="s">
        <v>1212</v>
      </c>
      <c r="O50" s="823">
        <v>0.39</v>
      </c>
      <c r="P50" s="823">
        <v>0.43</v>
      </c>
      <c r="Q50" s="823">
        <v>0.3</v>
      </c>
      <c r="R50" s="823">
        <v>0.39</v>
      </c>
      <c r="S50" s="823">
        <v>0.52</v>
      </c>
      <c r="T50" s="823">
        <v>0.32</v>
      </c>
      <c r="U50" s="823">
        <v>0.68</v>
      </c>
      <c r="V50" s="823">
        <v>0.69</v>
      </c>
      <c r="W50" s="823">
        <v>0.4</v>
      </c>
      <c r="X50" s="823">
        <v>0.87</v>
      </c>
      <c r="Y50" s="823">
        <v>1.06</v>
      </c>
      <c r="Z50" s="823">
        <v>0.5</v>
      </c>
      <c r="AA50" s="1338" t="s">
        <v>1212</v>
      </c>
      <c r="AB50" s="823">
        <v>1.07</v>
      </c>
      <c r="AC50" s="823">
        <v>0.48</v>
      </c>
      <c r="AD50" s="823">
        <v>0.35</v>
      </c>
      <c r="AE50" s="823">
        <v>1.1299999999999999</v>
      </c>
      <c r="AF50" s="823">
        <v>0.7</v>
      </c>
      <c r="AG50" s="823">
        <v>0.72</v>
      </c>
      <c r="AH50" s="823">
        <v>0.77</v>
      </c>
      <c r="AI50" s="823">
        <v>0.69</v>
      </c>
      <c r="AJ50" s="823">
        <v>0.94</v>
      </c>
      <c r="AK50" s="823">
        <v>0.95</v>
      </c>
      <c r="AL50" s="823">
        <v>0.88</v>
      </c>
      <c r="AM50" s="823">
        <v>1.25</v>
      </c>
    </row>
    <row r="51" spans="1:39" s="482" customFormat="1" ht="11.25" customHeight="1">
      <c r="A51" s="884" t="s">
        <v>1206</v>
      </c>
      <c r="B51" s="1074">
        <v>0.1</v>
      </c>
      <c r="C51" s="1074">
        <v>0.19</v>
      </c>
      <c r="D51" s="1074">
        <v>0</v>
      </c>
      <c r="E51" s="1074">
        <v>7.0000000000000007E-2</v>
      </c>
      <c r="F51" s="1074">
        <v>0.25</v>
      </c>
      <c r="G51" s="1074">
        <v>0</v>
      </c>
      <c r="H51" s="1074">
        <v>0.21</v>
      </c>
      <c r="I51" s="1074">
        <v>0.38</v>
      </c>
      <c r="J51" s="1074">
        <v>0</v>
      </c>
      <c r="K51" s="1074">
        <v>0.39</v>
      </c>
      <c r="L51" s="1074">
        <v>0.56000000000000005</v>
      </c>
      <c r="M51" s="1074">
        <v>0</v>
      </c>
      <c r="N51" s="884" t="s">
        <v>1206</v>
      </c>
      <c r="O51" s="1074">
        <v>0.41</v>
      </c>
      <c r="P51" s="1074">
        <v>0.43</v>
      </c>
      <c r="Q51" s="1074">
        <v>0.3</v>
      </c>
      <c r="R51" s="1074">
        <v>0.4</v>
      </c>
      <c r="S51" s="1074">
        <v>0.53</v>
      </c>
      <c r="T51" s="1074">
        <v>0.32</v>
      </c>
      <c r="U51" s="1074">
        <v>0.71</v>
      </c>
      <c r="V51" s="1074">
        <v>0.71</v>
      </c>
      <c r="W51" s="1074">
        <v>0.42</v>
      </c>
      <c r="X51" s="1074">
        <v>0.88</v>
      </c>
      <c r="Y51" s="1074">
        <v>1.08</v>
      </c>
      <c r="Z51" s="1074">
        <v>0.52</v>
      </c>
      <c r="AA51" s="884" t="s">
        <v>1206</v>
      </c>
      <c r="AB51" s="1074">
        <v>1</v>
      </c>
      <c r="AC51" s="1074">
        <v>0.36</v>
      </c>
      <c r="AD51" s="1074">
        <v>0.54</v>
      </c>
      <c r="AE51" s="1074">
        <v>1.18</v>
      </c>
      <c r="AF51" s="1074">
        <v>0.65</v>
      </c>
      <c r="AG51" s="1074">
        <v>0.75</v>
      </c>
      <c r="AH51" s="1074">
        <v>0.75</v>
      </c>
      <c r="AI51" s="1074">
        <v>0.69</v>
      </c>
      <c r="AJ51" s="1074">
        <v>0.94</v>
      </c>
      <c r="AK51" s="1074">
        <v>0.95</v>
      </c>
      <c r="AL51" s="1074">
        <v>0.88</v>
      </c>
      <c r="AM51" s="1074">
        <v>1.25</v>
      </c>
    </row>
    <row r="52" spans="1:39" s="482" customFormat="1" ht="10.5" customHeight="1">
      <c r="A52" s="1367" t="s">
        <v>1213</v>
      </c>
      <c r="B52" s="823">
        <v>0.09</v>
      </c>
      <c r="C52" s="823">
        <v>0.19</v>
      </c>
      <c r="D52" s="823">
        <v>0</v>
      </c>
      <c r="E52" s="823">
        <v>7.0000000000000007E-2</v>
      </c>
      <c r="F52" s="823">
        <v>0.24</v>
      </c>
      <c r="G52" s="823">
        <v>0</v>
      </c>
      <c r="H52" s="823">
        <v>0.2</v>
      </c>
      <c r="I52" s="823">
        <v>0.38</v>
      </c>
      <c r="J52" s="823">
        <v>0</v>
      </c>
      <c r="K52" s="823">
        <v>0.39</v>
      </c>
      <c r="L52" s="823">
        <v>0.55000000000000004</v>
      </c>
      <c r="M52" s="823">
        <v>0</v>
      </c>
      <c r="N52" s="1367" t="s">
        <v>1213</v>
      </c>
      <c r="O52" s="823">
        <v>0.4</v>
      </c>
      <c r="P52" s="823">
        <v>0.42</v>
      </c>
      <c r="Q52" s="823">
        <v>0.3</v>
      </c>
      <c r="R52" s="823">
        <v>0.39</v>
      </c>
      <c r="S52" s="823">
        <v>0.5</v>
      </c>
      <c r="T52" s="823">
        <v>0.31</v>
      </c>
      <c r="U52" s="823">
        <v>0.68</v>
      </c>
      <c r="V52" s="823">
        <v>0.75</v>
      </c>
      <c r="W52" s="823">
        <v>0.44</v>
      </c>
      <c r="X52" s="823">
        <v>0.86</v>
      </c>
      <c r="Y52" s="823">
        <v>1.02</v>
      </c>
      <c r="Z52" s="823">
        <v>0.42</v>
      </c>
      <c r="AA52" s="1367" t="s">
        <v>1213</v>
      </c>
      <c r="AB52" s="823">
        <v>1.02</v>
      </c>
      <c r="AC52" s="823">
        <v>0.53</v>
      </c>
      <c r="AD52" s="823">
        <v>0.59</v>
      </c>
      <c r="AE52" s="823">
        <v>1.1100000000000001</v>
      </c>
      <c r="AF52" s="823">
        <v>0.62</v>
      </c>
      <c r="AG52" s="823">
        <v>0.69</v>
      </c>
      <c r="AH52" s="823">
        <v>0.79</v>
      </c>
      <c r="AI52" s="823">
        <v>0.72</v>
      </c>
      <c r="AJ52" s="823">
        <v>1</v>
      </c>
      <c r="AK52" s="823">
        <v>0.95</v>
      </c>
      <c r="AL52" s="823">
        <v>0.87</v>
      </c>
      <c r="AM52" s="823">
        <v>1.25</v>
      </c>
    </row>
    <row r="53" spans="1:39" s="482" customFormat="1" ht="11.25" customHeight="1">
      <c r="A53" s="884" t="s">
        <v>1214</v>
      </c>
      <c r="B53" s="1074">
        <v>0.11</v>
      </c>
      <c r="C53" s="1074">
        <v>0.19</v>
      </c>
      <c r="D53" s="1074">
        <v>0</v>
      </c>
      <c r="E53" s="1074">
        <v>0.09</v>
      </c>
      <c r="F53" s="1074">
        <v>0.24</v>
      </c>
      <c r="G53" s="1074">
        <v>0</v>
      </c>
      <c r="H53" s="1074">
        <v>0.24</v>
      </c>
      <c r="I53" s="1074">
        <v>0.37</v>
      </c>
      <c r="J53" s="1074">
        <v>0</v>
      </c>
      <c r="K53" s="1074">
        <v>0.43</v>
      </c>
      <c r="L53" s="1074">
        <v>0.55000000000000004</v>
      </c>
      <c r="M53" s="1074">
        <v>0</v>
      </c>
      <c r="N53" s="884" t="s">
        <v>1214</v>
      </c>
      <c r="O53" s="1074">
        <v>0.43</v>
      </c>
      <c r="P53" s="1074">
        <v>0.48</v>
      </c>
      <c r="Q53" s="1074">
        <v>0.32</v>
      </c>
      <c r="R53" s="1074">
        <v>0.47</v>
      </c>
      <c r="S53" s="1074">
        <v>0.53</v>
      </c>
      <c r="T53" s="1074">
        <v>0.31</v>
      </c>
      <c r="U53" s="1074">
        <v>0.75</v>
      </c>
      <c r="V53" s="1074">
        <v>0.76</v>
      </c>
      <c r="W53" s="1074">
        <v>0.56000000000000005</v>
      </c>
      <c r="X53" s="1074">
        <v>0.9</v>
      </c>
      <c r="Y53" s="1074">
        <v>1.0900000000000001</v>
      </c>
      <c r="Z53" s="1074">
        <v>0.51</v>
      </c>
      <c r="AA53" s="884" t="s">
        <v>1214</v>
      </c>
      <c r="AB53" s="1074">
        <v>1</v>
      </c>
      <c r="AC53" s="1074">
        <v>0.44</v>
      </c>
      <c r="AD53" s="1074">
        <v>0.59</v>
      </c>
      <c r="AE53" s="1074">
        <v>1.1200000000000001</v>
      </c>
      <c r="AF53" s="1074">
        <v>0.68</v>
      </c>
      <c r="AG53" s="1074">
        <v>0.69</v>
      </c>
      <c r="AH53" s="1074">
        <v>0.76</v>
      </c>
      <c r="AI53" s="1074">
        <v>0.73</v>
      </c>
      <c r="AJ53" s="1074">
        <v>1</v>
      </c>
      <c r="AK53" s="1074">
        <v>0.97</v>
      </c>
      <c r="AL53" s="1074">
        <v>0.88</v>
      </c>
      <c r="AM53" s="1074">
        <v>1.25</v>
      </c>
    </row>
    <row r="54" spans="1:39" s="482" customFormat="1" ht="10.5" customHeight="1">
      <c r="A54" s="1392" t="s">
        <v>1207</v>
      </c>
      <c r="B54" s="823">
        <v>0.05</v>
      </c>
      <c r="C54" s="823">
        <v>0.18</v>
      </c>
      <c r="D54" s="823">
        <v>0</v>
      </c>
      <c r="E54" s="823">
        <v>0.16</v>
      </c>
      <c r="F54" s="823">
        <v>0.24</v>
      </c>
      <c r="G54" s="823">
        <v>0</v>
      </c>
      <c r="H54" s="823">
        <v>0.32</v>
      </c>
      <c r="I54" s="823">
        <v>0.37</v>
      </c>
      <c r="J54" s="823">
        <v>0</v>
      </c>
      <c r="K54" s="823">
        <v>0.51</v>
      </c>
      <c r="L54" s="823">
        <v>0.55000000000000004</v>
      </c>
      <c r="M54" s="823">
        <v>0</v>
      </c>
      <c r="N54" s="1392" t="s">
        <v>1207</v>
      </c>
      <c r="O54" s="823">
        <v>0.49</v>
      </c>
      <c r="P54" s="823">
        <v>0.49</v>
      </c>
      <c r="Q54" s="823">
        <v>0.3</v>
      </c>
      <c r="R54" s="823">
        <v>0.53</v>
      </c>
      <c r="S54" s="823">
        <v>0.54</v>
      </c>
      <c r="T54" s="823">
        <v>0.31</v>
      </c>
      <c r="U54" s="823">
        <v>1.37</v>
      </c>
      <c r="V54" s="823">
        <v>0.69</v>
      </c>
      <c r="W54" s="823">
        <v>0.56000000000000005</v>
      </c>
      <c r="X54" s="823">
        <v>1.39</v>
      </c>
      <c r="Y54" s="823">
        <v>0.86</v>
      </c>
      <c r="Z54" s="823">
        <v>0.48</v>
      </c>
      <c r="AA54" s="1392" t="s">
        <v>1207</v>
      </c>
      <c r="AB54" s="823">
        <v>1.01</v>
      </c>
      <c r="AC54" s="823">
        <v>0.47</v>
      </c>
      <c r="AD54" s="823">
        <v>0.57999999999999996</v>
      </c>
      <c r="AE54" s="823">
        <v>1.2</v>
      </c>
      <c r="AF54" s="823">
        <v>0.62</v>
      </c>
      <c r="AG54" s="823">
        <v>0.75</v>
      </c>
      <c r="AH54" s="823">
        <v>0.76</v>
      </c>
      <c r="AI54" s="823">
        <v>0.73</v>
      </c>
      <c r="AJ54" s="823">
        <v>1</v>
      </c>
      <c r="AK54" s="823">
        <v>0.97</v>
      </c>
      <c r="AL54" s="823">
        <v>0.88</v>
      </c>
      <c r="AM54" s="823">
        <v>1.25</v>
      </c>
    </row>
    <row r="55" spans="1:39" s="482" customFormat="1" ht="11.25" customHeight="1">
      <c r="A55" s="884" t="s">
        <v>1215</v>
      </c>
      <c r="B55" s="1074">
        <v>0.16</v>
      </c>
      <c r="C55" s="1074">
        <v>0.18</v>
      </c>
      <c r="D55" s="1074">
        <v>0</v>
      </c>
      <c r="E55" s="1074">
        <v>0.28999999999999998</v>
      </c>
      <c r="F55" s="1074">
        <v>0.25</v>
      </c>
      <c r="G55" s="1074">
        <v>0</v>
      </c>
      <c r="H55" s="1074">
        <v>0.44</v>
      </c>
      <c r="I55" s="1074">
        <v>0.38</v>
      </c>
      <c r="J55" s="1074">
        <v>0</v>
      </c>
      <c r="K55" s="1074">
        <v>0.63</v>
      </c>
      <c r="L55" s="1074">
        <v>0.56000000000000005</v>
      </c>
      <c r="M55" s="1074">
        <v>0</v>
      </c>
      <c r="N55" s="884" t="s">
        <v>1215</v>
      </c>
      <c r="O55" s="1074">
        <v>0.47</v>
      </c>
      <c r="P55" s="1074">
        <v>0.43</v>
      </c>
      <c r="Q55" s="1074">
        <v>0.37</v>
      </c>
      <c r="R55" s="1074">
        <v>0.53</v>
      </c>
      <c r="S55" s="1074">
        <v>0.51</v>
      </c>
      <c r="T55" s="1074">
        <v>0.37</v>
      </c>
      <c r="U55" s="1074">
        <v>1.36</v>
      </c>
      <c r="V55" s="1074">
        <v>0.73</v>
      </c>
      <c r="W55" s="1074">
        <v>0.62</v>
      </c>
      <c r="X55" s="1074">
        <v>1.34</v>
      </c>
      <c r="Y55" s="1074">
        <v>0.78</v>
      </c>
      <c r="Z55" s="1074">
        <v>0.47</v>
      </c>
      <c r="AA55" s="884" t="s">
        <v>1215</v>
      </c>
      <c r="AB55" s="1074">
        <v>1.1299999999999999</v>
      </c>
      <c r="AC55" s="1074">
        <v>0.43</v>
      </c>
      <c r="AD55" s="1074">
        <v>0.54</v>
      </c>
      <c r="AE55" s="1074">
        <v>1.19</v>
      </c>
      <c r="AF55" s="1074">
        <v>0.61</v>
      </c>
      <c r="AG55" s="1074">
        <v>0.53</v>
      </c>
      <c r="AH55" s="1074">
        <v>0.93</v>
      </c>
      <c r="AI55" s="1074">
        <v>0.73</v>
      </c>
      <c r="AJ55" s="1074">
        <v>0.73</v>
      </c>
      <c r="AK55" s="1074">
        <v>0.77</v>
      </c>
      <c r="AL55" s="1074">
        <v>0.76</v>
      </c>
      <c r="AM55" s="1074">
        <v>0.72</v>
      </c>
    </row>
    <row r="56" spans="1:39" s="482" customFormat="1" ht="10.5" customHeight="1">
      <c r="A56" s="1404" t="s">
        <v>1216</v>
      </c>
      <c r="B56" s="823">
        <v>0.17</v>
      </c>
      <c r="C56" s="823">
        <v>0.19</v>
      </c>
      <c r="D56" s="823">
        <v>0</v>
      </c>
      <c r="E56" s="823">
        <v>0.3</v>
      </c>
      <c r="F56" s="823">
        <v>0.25</v>
      </c>
      <c r="G56" s="823">
        <v>0</v>
      </c>
      <c r="H56" s="823">
        <v>0.47</v>
      </c>
      <c r="I56" s="823">
        <v>0.37</v>
      </c>
      <c r="J56" s="823">
        <v>0</v>
      </c>
      <c r="K56" s="823">
        <v>0.63</v>
      </c>
      <c r="L56" s="823">
        <v>0.52</v>
      </c>
      <c r="M56" s="823">
        <v>0</v>
      </c>
      <c r="N56" s="1404" t="s">
        <v>1216</v>
      </c>
      <c r="O56" s="823">
        <v>0.48</v>
      </c>
      <c r="P56" s="823">
        <v>0.41</v>
      </c>
      <c r="Q56" s="823">
        <v>0.28999999999999998</v>
      </c>
      <c r="R56" s="823">
        <v>0.53</v>
      </c>
      <c r="S56" s="823">
        <v>0.47</v>
      </c>
      <c r="T56" s="823">
        <v>0.3</v>
      </c>
      <c r="U56" s="823">
        <v>1.43</v>
      </c>
      <c r="V56" s="823">
        <v>0.73</v>
      </c>
      <c r="W56" s="823">
        <v>0.55000000000000004</v>
      </c>
      <c r="X56" s="823">
        <v>1.4</v>
      </c>
      <c r="Y56" s="823">
        <v>0.77</v>
      </c>
      <c r="Z56" s="823">
        <v>0.57999999999999996</v>
      </c>
      <c r="AA56" s="1404" t="s">
        <v>1216</v>
      </c>
      <c r="AB56" s="823">
        <v>1.08</v>
      </c>
      <c r="AC56" s="823">
        <v>0.48</v>
      </c>
      <c r="AD56" s="823">
        <v>0.59</v>
      </c>
      <c r="AE56" s="823">
        <v>1.18</v>
      </c>
      <c r="AF56" s="823">
        <v>0.7</v>
      </c>
      <c r="AG56" s="823">
        <v>0.57999999999999996</v>
      </c>
      <c r="AH56" s="823">
        <v>0.86</v>
      </c>
      <c r="AI56" s="823">
        <v>0.68</v>
      </c>
      <c r="AJ56" s="823">
        <v>1</v>
      </c>
      <c r="AK56" s="823">
        <v>0.97</v>
      </c>
      <c r="AL56" s="823">
        <v>0.88</v>
      </c>
      <c r="AM56" s="823">
        <v>1.07</v>
      </c>
    </row>
    <row r="57" spans="1:39" s="482" customFormat="1" ht="12" customHeight="1">
      <c r="A57" s="884" t="s">
        <v>1208</v>
      </c>
      <c r="B57" s="1411">
        <v>0.18</v>
      </c>
      <c r="C57" s="1411">
        <v>0.19</v>
      </c>
      <c r="D57" s="1412">
        <v>0</v>
      </c>
      <c r="E57" s="1411">
        <v>0.32</v>
      </c>
      <c r="F57" s="1411">
        <v>0.25</v>
      </c>
      <c r="G57" s="1412">
        <v>0</v>
      </c>
      <c r="H57" s="1411">
        <v>0.49</v>
      </c>
      <c r="I57" s="1411">
        <v>0.37</v>
      </c>
      <c r="J57" s="1412">
        <v>0</v>
      </c>
      <c r="K57" s="1411">
        <v>0.67</v>
      </c>
      <c r="L57" s="1411">
        <v>0.53</v>
      </c>
      <c r="M57" s="1412">
        <v>0</v>
      </c>
      <c r="N57" s="884" t="s">
        <v>1208</v>
      </c>
      <c r="O57" s="1411">
        <v>0.47</v>
      </c>
      <c r="P57" s="1411">
        <v>0.39</v>
      </c>
      <c r="Q57" s="1411">
        <v>0.28000000000000003</v>
      </c>
      <c r="R57" s="1411">
        <v>0.47</v>
      </c>
      <c r="S57" s="1411">
        <v>0.47</v>
      </c>
      <c r="T57" s="1411">
        <v>0.28999999999999998</v>
      </c>
      <c r="U57" s="1411">
        <v>1.39</v>
      </c>
      <c r="V57" s="1411">
        <v>0.64</v>
      </c>
      <c r="W57" s="1411">
        <v>0.49</v>
      </c>
      <c r="X57" s="1411">
        <v>1.39</v>
      </c>
      <c r="Y57" s="1411">
        <v>0.76</v>
      </c>
      <c r="Z57" s="1411">
        <v>0.52</v>
      </c>
      <c r="AA57" s="884" t="s">
        <v>1208</v>
      </c>
      <c r="AB57" s="1411">
        <v>1.03</v>
      </c>
      <c r="AC57" s="1411">
        <v>0.36</v>
      </c>
      <c r="AD57" s="1411">
        <v>0.54</v>
      </c>
      <c r="AE57" s="1411">
        <v>1.21</v>
      </c>
      <c r="AF57" s="1411">
        <v>0.66</v>
      </c>
      <c r="AG57" s="1411">
        <v>0.75</v>
      </c>
      <c r="AH57" s="1411">
        <v>0.86</v>
      </c>
      <c r="AI57" s="1411">
        <v>0.69</v>
      </c>
      <c r="AJ57" s="1412">
        <v>1</v>
      </c>
      <c r="AK57" s="1411">
        <v>0.99</v>
      </c>
      <c r="AL57" s="1411">
        <v>0.87</v>
      </c>
      <c r="AM57" s="1411">
        <v>1.07</v>
      </c>
    </row>
    <row r="58" spans="1:39" s="482" customFormat="1" ht="12" customHeight="1">
      <c r="A58" s="1432" t="s">
        <v>1217</v>
      </c>
      <c r="B58" s="1433">
        <v>0.18</v>
      </c>
      <c r="C58" s="1433">
        <v>0.17</v>
      </c>
      <c r="D58" s="1434">
        <v>0</v>
      </c>
      <c r="E58" s="1433">
        <v>0.3</v>
      </c>
      <c r="F58" s="1433">
        <v>0.23</v>
      </c>
      <c r="G58" s="1434">
        <v>0</v>
      </c>
      <c r="H58" s="1433">
        <v>0.46</v>
      </c>
      <c r="I58" s="1433">
        <v>0.34</v>
      </c>
      <c r="J58" s="1434">
        <v>0</v>
      </c>
      <c r="K58" s="1433">
        <v>0.62</v>
      </c>
      <c r="L58" s="1433">
        <v>0.48</v>
      </c>
      <c r="M58" s="1434">
        <v>0</v>
      </c>
      <c r="N58" s="1432" t="s">
        <v>1217</v>
      </c>
      <c r="O58" s="1433">
        <v>0.42</v>
      </c>
      <c r="P58" s="1433">
        <v>0.41</v>
      </c>
      <c r="Q58" s="1433">
        <v>0.28000000000000003</v>
      </c>
      <c r="R58" s="1433">
        <v>0.51</v>
      </c>
      <c r="S58" s="1433">
        <v>0.48</v>
      </c>
      <c r="T58" s="1433">
        <v>0.28999999999999998</v>
      </c>
      <c r="U58" s="1433">
        <v>1.34</v>
      </c>
      <c r="V58" s="1433">
        <v>0.71</v>
      </c>
      <c r="W58" s="1433">
        <v>0.49</v>
      </c>
      <c r="X58" s="1433">
        <v>1.39</v>
      </c>
      <c r="Y58" s="1433">
        <v>0.78</v>
      </c>
      <c r="Z58" s="1433">
        <v>0.59</v>
      </c>
      <c r="AA58" s="1432" t="s">
        <v>1217</v>
      </c>
      <c r="AB58" s="1433">
        <v>0.94</v>
      </c>
      <c r="AC58" s="1434">
        <v>0.4</v>
      </c>
      <c r="AD58" s="1433">
        <v>0.46</v>
      </c>
      <c r="AE58" s="1433">
        <v>1.24</v>
      </c>
      <c r="AF58" s="1433">
        <v>0.66</v>
      </c>
      <c r="AG58" s="1433">
        <v>0.45</v>
      </c>
      <c r="AH58" s="1433">
        <v>0.88</v>
      </c>
      <c r="AI58" s="1433">
        <v>0.69</v>
      </c>
      <c r="AJ58" s="1434">
        <v>0.75</v>
      </c>
      <c r="AK58" s="1434">
        <v>1</v>
      </c>
      <c r="AL58" s="1433">
        <v>0.99</v>
      </c>
      <c r="AM58" s="1433">
        <v>0.94</v>
      </c>
    </row>
    <row r="59" spans="1:39" s="482" customFormat="1" ht="12" customHeight="1">
      <c r="A59" s="884" t="s">
        <v>1218</v>
      </c>
      <c r="B59" s="1411">
        <v>0.18</v>
      </c>
      <c r="C59" s="1411">
        <v>0.19</v>
      </c>
      <c r="D59" s="1412">
        <v>0</v>
      </c>
      <c r="E59" s="1411">
        <v>0.32</v>
      </c>
      <c r="F59" s="1411">
        <v>0.25</v>
      </c>
      <c r="G59" s="1412">
        <v>0</v>
      </c>
      <c r="H59" s="1411">
        <v>0.51</v>
      </c>
      <c r="I59" s="1411">
        <v>0.37</v>
      </c>
      <c r="J59" s="1412">
        <v>0</v>
      </c>
      <c r="K59" s="1412">
        <v>0.7</v>
      </c>
      <c r="L59" s="1411">
        <v>0.54</v>
      </c>
      <c r="M59" s="1412">
        <v>0</v>
      </c>
      <c r="N59" s="884" t="s">
        <v>1218</v>
      </c>
      <c r="O59" s="1411">
        <v>0.46</v>
      </c>
      <c r="P59" s="1411">
        <v>0.4</v>
      </c>
      <c r="Q59" s="1411">
        <v>0.27</v>
      </c>
      <c r="R59" s="1411">
        <v>0.51</v>
      </c>
      <c r="S59" s="1411">
        <v>0.47</v>
      </c>
      <c r="T59" s="1411">
        <v>0.27</v>
      </c>
      <c r="U59" s="1411">
        <v>1.41</v>
      </c>
      <c r="V59" s="1411">
        <v>0.62</v>
      </c>
      <c r="W59" s="1411">
        <v>0.46</v>
      </c>
      <c r="X59" s="1411">
        <v>1.43</v>
      </c>
      <c r="Y59" s="1411">
        <v>0.76</v>
      </c>
      <c r="Z59" s="1411">
        <v>0.53</v>
      </c>
      <c r="AA59" s="884" t="s">
        <v>1218</v>
      </c>
      <c r="AB59" s="1411">
        <v>0.98</v>
      </c>
      <c r="AC59" s="1412">
        <v>0.49</v>
      </c>
      <c r="AD59" s="1411">
        <v>0.46</v>
      </c>
      <c r="AE59" s="1411">
        <v>1.19</v>
      </c>
      <c r="AF59" s="1411">
        <v>0.68</v>
      </c>
      <c r="AG59" s="1411">
        <v>0.45</v>
      </c>
      <c r="AH59" s="1411">
        <v>1.07</v>
      </c>
      <c r="AI59" s="1411">
        <v>0.73</v>
      </c>
      <c r="AJ59" s="1412">
        <v>0.75</v>
      </c>
      <c r="AK59" s="1412">
        <v>1</v>
      </c>
      <c r="AL59" s="1411">
        <v>0.99</v>
      </c>
      <c r="AM59" s="1411">
        <v>0.94</v>
      </c>
    </row>
    <row r="60" spans="1:39" s="482" customFormat="1" ht="12" customHeight="1">
      <c r="A60" s="1454" t="s">
        <v>1209</v>
      </c>
      <c r="B60" s="1433">
        <v>0.19</v>
      </c>
      <c r="C60" s="1433">
        <v>0.18</v>
      </c>
      <c r="D60" s="1434">
        <v>0</v>
      </c>
      <c r="E60" s="1433">
        <v>0.34</v>
      </c>
      <c r="F60" s="1433">
        <v>0.23</v>
      </c>
      <c r="G60" s="1434">
        <v>0</v>
      </c>
      <c r="H60" s="1433">
        <v>0.53</v>
      </c>
      <c r="I60" s="1433">
        <v>0.34</v>
      </c>
      <c r="J60" s="1434">
        <v>0</v>
      </c>
      <c r="K60" s="1434">
        <v>0.74</v>
      </c>
      <c r="L60" s="1434">
        <v>0.5</v>
      </c>
      <c r="M60" s="1434">
        <v>0</v>
      </c>
      <c r="N60" s="1454" t="s">
        <v>1209</v>
      </c>
      <c r="O60" s="1433">
        <v>0.46</v>
      </c>
      <c r="P60" s="1433">
        <v>0.43</v>
      </c>
      <c r="Q60" s="1433">
        <v>0.27</v>
      </c>
      <c r="R60" s="1433">
        <v>0.54</v>
      </c>
      <c r="S60" s="1433">
        <v>0.49</v>
      </c>
      <c r="T60" s="1433">
        <v>0.27</v>
      </c>
      <c r="U60" s="1433">
        <v>1.46</v>
      </c>
      <c r="V60" s="1433">
        <v>0.73</v>
      </c>
      <c r="W60" s="1433">
        <v>0.46</v>
      </c>
      <c r="X60" s="1433">
        <v>1.49</v>
      </c>
      <c r="Y60" s="1433">
        <v>0.78</v>
      </c>
      <c r="Z60" s="1433">
        <v>0.53</v>
      </c>
      <c r="AA60" s="1454" t="s">
        <v>1209</v>
      </c>
      <c r="AB60" s="1433">
        <v>1.04</v>
      </c>
      <c r="AC60" s="1434">
        <v>0.4</v>
      </c>
      <c r="AD60" s="1433">
        <v>0.42</v>
      </c>
      <c r="AE60" s="1433">
        <v>1.26</v>
      </c>
      <c r="AF60" s="1433">
        <v>0.61</v>
      </c>
      <c r="AG60" s="1433">
        <v>0.5</v>
      </c>
      <c r="AH60" s="1433">
        <v>0.83</v>
      </c>
      <c r="AI60" s="1433">
        <v>0.74</v>
      </c>
      <c r="AJ60" s="1434">
        <v>0.75</v>
      </c>
      <c r="AK60" s="1434">
        <v>1</v>
      </c>
      <c r="AL60" s="1433">
        <v>0.99</v>
      </c>
      <c r="AM60" s="1433">
        <v>0.94</v>
      </c>
    </row>
    <row r="61" spans="1:39" s="482" customFormat="1" ht="12" customHeight="1">
      <c r="A61" s="818" t="s">
        <v>2809</v>
      </c>
      <c r="B61" s="1411"/>
      <c r="C61" s="1411"/>
      <c r="D61" s="1412"/>
      <c r="E61" s="1411"/>
      <c r="F61" s="1411"/>
      <c r="G61" s="1412"/>
      <c r="H61" s="1411"/>
      <c r="I61" s="1411"/>
      <c r="J61" s="1412"/>
      <c r="K61" s="1412"/>
      <c r="L61" s="1412"/>
      <c r="M61" s="1412"/>
      <c r="N61" s="818" t="s">
        <v>2809</v>
      </c>
      <c r="O61" s="1411"/>
      <c r="P61" s="1411"/>
      <c r="Q61" s="1411"/>
      <c r="R61" s="1411"/>
      <c r="S61" s="1411"/>
      <c r="T61" s="1411"/>
      <c r="U61" s="1411"/>
      <c r="V61" s="1411"/>
      <c r="W61" s="1411"/>
      <c r="X61" s="1411"/>
      <c r="Y61" s="1411"/>
      <c r="Z61" s="1411"/>
      <c r="AA61" s="818" t="s">
        <v>2809</v>
      </c>
      <c r="AB61" s="1411"/>
      <c r="AC61" s="1412"/>
      <c r="AD61" s="1411"/>
      <c r="AE61" s="1411"/>
      <c r="AF61" s="1411"/>
      <c r="AG61" s="1411"/>
      <c r="AH61" s="1411"/>
      <c r="AI61" s="1411"/>
      <c r="AJ61" s="1412"/>
      <c r="AK61" s="1412"/>
      <c r="AL61" s="1411"/>
      <c r="AM61" s="1411"/>
    </row>
    <row r="62" spans="1:39" s="482" customFormat="1" ht="12" customHeight="1">
      <c r="A62" s="1494" t="s">
        <v>1211</v>
      </c>
      <c r="B62" s="1433">
        <v>0.19</v>
      </c>
      <c r="C62" s="1433">
        <v>0.18</v>
      </c>
      <c r="D62" s="1434">
        <v>0</v>
      </c>
      <c r="E62" s="1433">
        <v>0.32</v>
      </c>
      <c r="F62" s="1433">
        <v>0.18</v>
      </c>
      <c r="G62" s="1434">
        <v>0</v>
      </c>
      <c r="H62" s="1433">
        <v>0.51</v>
      </c>
      <c r="I62" s="1433">
        <v>0.25</v>
      </c>
      <c r="J62" s="1434">
        <v>0</v>
      </c>
      <c r="K62" s="1434">
        <v>0.52</v>
      </c>
      <c r="L62" s="1434">
        <v>0.39</v>
      </c>
      <c r="M62" s="1434">
        <v>0</v>
      </c>
      <c r="N62" s="1494" t="s">
        <v>1211</v>
      </c>
      <c r="O62" s="1433">
        <v>0.46</v>
      </c>
      <c r="P62" s="1433">
        <v>0.39</v>
      </c>
      <c r="Q62" s="1433">
        <v>0.32</v>
      </c>
      <c r="R62" s="1433">
        <v>0.53</v>
      </c>
      <c r="S62" s="1433">
        <v>0.45</v>
      </c>
      <c r="T62" s="1433">
        <v>0.32</v>
      </c>
      <c r="U62" s="1433">
        <v>0.87</v>
      </c>
      <c r="V62" s="1433">
        <v>0.59</v>
      </c>
      <c r="W62" s="1433">
        <v>0.49</v>
      </c>
      <c r="X62" s="1433">
        <v>0.92</v>
      </c>
      <c r="Y62" s="1433">
        <v>0.74</v>
      </c>
      <c r="Z62" s="1433">
        <v>0.55000000000000004</v>
      </c>
      <c r="AA62" s="1494" t="s">
        <v>1211</v>
      </c>
      <c r="AB62" s="1433">
        <v>1.1200000000000001</v>
      </c>
      <c r="AC62" s="1434">
        <v>0.56999999999999995</v>
      </c>
      <c r="AD62" s="1433">
        <v>0.46</v>
      </c>
      <c r="AE62" s="1433">
        <v>1.18</v>
      </c>
      <c r="AF62" s="1433">
        <v>0.61</v>
      </c>
      <c r="AG62" s="1433">
        <v>0.45</v>
      </c>
      <c r="AH62" s="1433">
        <v>0.83</v>
      </c>
      <c r="AI62" s="1433">
        <v>0.74</v>
      </c>
      <c r="AJ62" s="1434">
        <v>0.82</v>
      </c>
      <c r="AK62" s="1434">
        <v>1.01</v>
      </c>
      <c r="AL62" s="1433">
        <v>0.82</v>
      </c>
      <c r="AM62" s="1434">
        <v>1</v>
      </c>
    </row>
    <row r="63" spans="1:39" s="482" customFormat="1" ht="12" customHeight="1">
      <c r="A63" s="884" t="s">
        <v>1212</v>
      </c>
      <c r="B63" s="1411">
        <v>0.21</v>
      </c>
      <c r="C63" s="1412">
        <v>0.1</v>
      </c>
      <c r="D63" s="1412">
        <v>0</v>
      </c>
      <c r="E63" s="1411">
        <v>0.42</v>
      </c>
      <c r="F63" s="1411">
        <v>0.13</v>
      </c>
      <c r="G63" s="1412">
        <v>0</v>
      </c>
      <c r="H63" s="1411">
        <v>0.71</v>
      </c>
      <c r="I63" s="1411">
        <v>0.22</v>
      </c>
      <c r="J63" s="1412">
        <v>0</v>
      </c>
      <c r="K63" s="1412">
        <v>0.9</v>
      </c>
      <c r="L63" s="1412">
        <v>0.35</v>
      </c>
      <c r="M63" s="1412">
        <v>0</v>
      </c>
      <c r="N63" s="884" t="s">
        <v>1212</v>
      </c>
      <c r="O63" s="1411">
        <v>0.46</v>
      </c>
      <c r="P63" s="1411">
        <v>0.33</v>
      </c>
      <c r="Q63" s="1411">
        <v>0.31</v>
      </c>
      <c r="R63" s="1411">
        <v>3.94</v>
      </c>
      <c r="S63" s="1411">
        <v>0.41</v>
      </c>
      <c r="T63" s="1412">
        <v>0.3</v>
      </c>
      <c r="U63" s="1411">
        <v>1.45</v>
      </c>
      <c r="V63" s="1411">
        <v>0.53</v>
      </c>
      <c r="W63" s="1411">
        <v>0.51</v>
      </c>
      <c r="X63" s="1411">
        <v>1.65</v>
      </c>
      <c r="Y63" s="1411">
        <v>0.67</v>
      </c>
      <c r="Z63" s="1411">
        <v>0.61</v>
      </c>
      <c r="AA63" s="884" t="s">
        <v>1212</v>
      </c>
      <c r="AB63" s="1411">
        <v>0.98</v>
      </c>
      <c r="AC63" s="1412">
        <v>0.46</v>
      </c>
      <c r="AD63" s="1411">
        <v>0.46</v>
      </c>
      <c r="AE63" s="1411">
        <v>1.17</v>
      </c>
      <c r="AF63" s="1411">
        <v>0.67</v>
      </c>
      <c r="AG63" s="1411">
        <v>0.45</v>
      </c>
      <c r="AH63" s="1411">
        <v>0.89</v>
      </c>
      <c r="AI63" s="1411">
        <v>0.7</v>
      </c>
      <c r="AJ63" s="1412">
        <v>0.82</v>
      </c>
      <c r="AK63" s="1412">
        <v>1.01</v>
      </c>
      <c r="AL63" s="1411">
        <v>0.82</v>
      </c>
      <c r="AM63" s="1412">
        <v>1</v>
      </c>
    </row>
    <row r="64" spans="1:39" s="482" customFormat="1" ht="12" customHeight="1">
      <c r="A64" s="1511" t="s">
        <v>1206</v>
      </c>
      <c r="B64" s="1433">
        <v>0.21</v>
      </c>
      <c r="C64" s="1433">
        <v>0.02</v>
      </c>
      <c r="D64" s="1434">
        <v>0</v>
      </c>
      <c r="E64" s="1433">
        <v>0.45</v>
      </c>
      <c r="F64" s="1434">
        <v>0.1</v>
      </c>
      <c r="G64" s="1434">
        <v>0</v>
      </c>
      <c r="H64" s="1433">
        <v>0.75</v>
      </c>
      <c r="I64" s="1433">
        <v>0.21</v>
      </c>
      <c r="J64" s="1434">
        <v>0</v>
      </c>
      <c r="K64" s="1434">
        <v>0.98</v>
      </c>
      <c r="L64" s="1434">
        <v>0.37</v>
      </c>
      <c r="M64" s="1434">
        <v>0</v>
      </c>
      <c r="N64" s="1511" t="s">
        <v>1206</v>
      </c>
      <c r="O64" s="1433">
        <v>0.51</v>
      </c>
      <c r="P64" s="1433">
        <v>0.42</v>
      </c>
      <c r="Q64" s="1433">
        <v>0.28999999999999998</v>
      </c>
      <c r="R64" s="1433">
        <v>0.54</v>
      </c>
      <c r="S64" s="1433">
        <v>0.49</v>
      </c>
      <c r="T64" s="1433">
        <v>0.28999999999999998</v>
      </c>
      <c r="U64" s="1433">
        <v>0.87</v>
      </c>
      <c r="V64" s="1433">
        <v>0.79</v>
      </c>
      <c r="W64" s="1433">
        <v>0.51</v>
      </c>
      <c r="X64" s="1433">
        <v>0.92</v>
      </c>
      <c r="Y64" s="1433">
        <v>0.75</v>
      </c>
      <c r="Z64" s="1433">
        <v>0.56000000000000005</v>
      </c>
      <c r="AA64" s="1511" t="s">
        <v>1206</v>
      </c>
      <c r="AB64" s="1433">
        <v>1.1100000000000001</v>
      </c>
      <c r="AC64" s="1434">
        <v>0.33</v>
      </c>
      <c r="AD64" s="1433">
        <v>0.25</v>
      </c>
      <c r="AE64" s="1433">
        <v>1.46</v>
      </c>
      <c r="AF64" s="1434">
        <v>0.5</v>
      </c>
      <c r="AG64" s="1434">
        <v>0.5</v>
      </c>
      <c r="AH64" s="1433">
        <v>1.0900000000000001</v>
      </c>
      <c r="AI64" s="1433">
        <v>0.65</v>
      </c>
      <c r="AJ64" s="1434">
        <v>0.75</v>
      </c>
      <c r="AK64" s="1434">
        <v>1.22</v>
      </c>
      <c r="AL64" s="1433">
        <v>0.74</v>
      </c>
      <c r="AM64" s="1434">
        <v>1</v>
      </c>
    </row>
    <row r="65" spans="1:39" s="482" customFormat="1" ht="12" customHeight="1">
      <c r="A65" s="884" t="s">
        <v>1213</v>
      </c>
      <c r="B65" s="1411">
        <v>0.24</v>
      </c>
      <c r="C65" s="1411">
        <v>0.01</v>
      </c>
      <c r="D65" s="1412">
        <v>0</v>
      </c>
      <c r="E65" s="1411">
        <v>0.49</v>
      </c>
      <c r="F65" s="1411">
        <v>1.08</v>
      </c>
      <c r="G65" s="1412">
        <v>0</v>
      </c>
      <c r="H65" s="1411">
        <v>0.78</v>
      </c>
      <c r="I65" s="1411">
        <v>0.22</v>
      </c>
      <c r="J65" s="1412">
        <v>0</v>
      </c>
      <c r="K65" s="1412">
        <v>0.98</v>
      </c>
      <c r="L65" s="1412">
        <v>0.36</v>
      </c>
      <c r="M65" s="1412">
        <v>0</v>
      </c>
      <c r="N65" s="884" t="s">
        <v>1213</v>
      </c>
      <c r="O65" s="1411">
        <v>0.47</v>
      </c>
      <c r="P65" s="1411">
        <v>0.32</v>
      </c>
      <c r="Q65" s="1411">
        <v>0.32</v>
      </c>
      <c r="R65" s="1412">
        <v>0.6</v>
      </c>
      <c r="S65" s="1411">
        <v>0.41</v>
      </c>
      <c r="T65" s="1411">
        <v>0.31</v>
      </c>
      <c r="U65" s="1412">
        <v>1.6</v>
      </c>
      <c r="V65" s="1411">
        <v>0.55000000000000004</v>
      </c>
      <c r="W65" s="1411">
        <v>0.47</v>
      </c>
      <c r="X65" s="1412">
        <v>1.6</v>
      </c>
      <c r="Y65" s="1411">
        <v>0.69</v>
      </c>
      <c r="Z65" s="1411">
        <v>0.53</v>
      </c>
      <c r="AA65" s="884" t="s">
        <v>1213</v>
      </c>
      <c r="AB65" s="1412">
        <v>0.96</v>
      </c>
      <c r="AC65" s="1412">
        <v>0.55000000000000004</v>
      </c>
      <c r="AD65" s="1412">
        <v>0.46</v>
      </c>
      <c r="AE65" s="1412">
        <v>1.1499999999999999</v>
      </c>
      <c r="AF65" s="1412">
        <v>0.57999999999999996</v>
      </c>
      <c r="AG65" s="1412">
        <v>0.56999999999999995</v>
      </c>
      <c r="AH65" s="1412">
        <v>0.9</v>
      </c>
      <c r="AI65" s="1412">
        <v>0.66</v>
      </c>
      <c r="AJ65" s="1412">
        <v>0.75</v>
      </c>
      <c r="AK65" s="1412">
        <v>1.04</v>
      </c>
      <c r="AL65" s="1412">
        <v>0.82</v>
      </c>
      <c r="AM65" s="1412">
        <v>1</v>
      </c>
    </row>
    <row r="66" spans="1:39" s="482" customFormat="1" ht="12" customHeight="1">
      <c r="A66" s="1541" t="s">
        <v>1214</v>
      </c>
      <c r="B66" s="1433">
        <v>0.25</v>
      </c>
      <c r="C66" s="1433">
        <v>0.01</v>
      </c>
      <c r="D66" s="1434">
        <v>0</v>
      </c>
      <c r="E66" s="1433">
        <v>0.51</v>
      </c>
      <c r="F66" s="1433">
        <v>0.69</v>
      </c>
      <c r="G66" s="1434">
        <v>0</v>
      </c>
      <c r="H66" s="1433">
        <v>0.61</v>
      </c>
      <c r="I66" s="1433">
        <v>0.23</v>
      </c>
      <c r="J66" s="1434">
        <v>0</v>
      </c>
      <c r="K66" s="1434">
        <v>0.99</v>
      </c>
      <c r="L66" s="1434">
        <v>0.38</v>
      </c>
      <c r="M66" s="1434">
        <v>0</v>
      </c>
      <c r="N66" s="1541" t="s">
        <v>1214</v>
      </c>
      <c r="O66" s="1433">
        <v>0.47</v>
      </c>
      <c r="P66" s="1433">
        <v>0.32</v>
      </c>
      <c r="Q66" s="1433">
        <v>0.31</v>
      </c>
      <c r="R66" s="1434">
        <v>0.57999999999999996</v>
      </c>
      <c r="S66" s="1433">
        <v>0.41</v>
      </c>
      <c r="T66" s="1433">
        <v>0.26</v>
      </c>
      <c r="U66" s="1434">
        <v>0.88</v>
      </c>
      <c r="V66" s="1433">
        <v>0.56000000000000005</v>
      </c>
      <c r="W66" s="1433">
        <v>0.4</v>
      </c>
      <c r="X66" s="1434">
        <v>0.99</v>
      </c>
      <c r="Y66" s="1433">
        <v>0.67</v>
      </c>
      <c r="Z66" s="1433">
        <v>0.49</v>
      </c>
      <c r="AA66" s="1541" t="s">
        <v>1214</v>
      </c>
      <c r="AB66" s="1434">
        <v>1</v>
      </c>
      <c r="AC66" s="1434">
        <v>0.44</v>
      </c>
      <c r="AD66" s="1434">
        <v>0.46</v>
      </c>
      <c r="AE66" s="1434">
        <v>1.1499999999999999</v>
      </c>
      <c r="AF66" s="1434">
        <v>0.65</v>
      </c>
      <c r="AG66" s="1434">
        <v>0.56999999999999995</v>
      </c>
      <c r="AH66" s="1434">
        <v>0.93</v>
      </c>
      <c r="AI66" s="1434">
        <v>0.65</v>
      </c>
      <c r="AJ66" s="1434">
        <v>0.75</v>
      </c>
      <c r="AK66" s="1434">
        <v>1.0900000000000001</v>
      </c>
      <c r="AL66" s="1434">
        <v>0.82</v>
      </c>
      <c r="AM66" s="1434">
        <v>1</v>
      </c>
    </row>
    <row r="67" spans="1:39" s="482" customFormat="1" ht="12" customHeight="1">
      <c r="A67" s="1614" t="s">
        <v>1207</v>
      </c>
      <c r="B67" s="1411">
        <v>0.34</v>
      </c>
      <c r="C67" s="1411">
        <v>0.01</v>
      </c>
      <c r="D67" s="1412">
        <v>0</v>
      </c>
      <c r="E67" s="1411">
        <v>0.56000000000000005</v>
      </c>
      <c r="F67" s="1411">
        <v>0.48</v>
      </c>
      <c r="G67" s="1412">
        <v>0</v>
      </c>
      <c r="H67" s="1411">
        <v>0.82</v>
      </c>
      <c r="I67" s="1411">
        <v>0.22</v>
      </c>
      <c r="J67" s="1412">
        <v>0</v>
      </c>
      <c r="K67" s="1412">
        <v>1.03</v>
      </c>
      <c r="L67" s="1412">
        <v>0.36</v>
      </c>
      <c r="M67" s="1412">
        <v>0</v>
      </c>
      <c r="N67" s="1614" t="s">
        <v>1207</v>
      </c>
      <c r="O67" s="1411">
        <v>0.52</v>
      </c>
      <c r="P67" s="1411">
        <v>0.32</v>
      </c>
      <c r="Q67" s="1411">
        <v>0.38</v>
      </c>
      <c r="R67" s="1412">
        <v>0.6</v>
      </c>
      <c r="S67" s="1411">
        <v>0.45</v>
      </c>
      <c r="T67" s="1411">
        <v>0.28999999999999998</v>
      </c>
      <c r="U67" s="1412">
        <v>0.9</v>
      </c>
      <c r="V67" s="1411">
        <v>0.56000000000000005</v>
      </c>
      <c r="W67" s="1411">
        <v>0.47</v>
      </c>
      <c r="X67" s="1412">
        <v>1.02</v>
      </c>
      <c r="Y67" s="1411">
        <v>0.71</v>
      </c>
      <c r="Z67" s="1411">
        <v>0.56999999999999995</v>
      </c>
      <c r="AA67" s="1614" t="s">
        <v>1207</v>
      </c>
      <c r="AB67" s="1412">
        <v>0.92</v>
      </c>
      <c r="AC67" s="1412">
        <v>0.54</v>
      </c>
      <c r="AD67" s="1412">
        <v>0.45</v>
      </c>
      <c r="AE67" s="1412">
        <v>1.21</v>
      </c>
      <c r="AF67" s="1412">
        <v>0.59</v>
      </c>
      <c r="AG67" s="1412">
        <v>0.5</v>
      </c>
      <c r="AH67" s="1412">
        <v>0.93</v>
      </c>
      <c r="AI67" s="1412">
        <v>0.7</v>
      </c>
      <c r="AJ67" s="1412">
        <v>0.75</v>
      </c>
      <c r="AK67" s="1412">
        <v>1.0900000000000001</v>
      </c>
      <c r="AL67" s="1412">
        <v>0.82</v>
      </c>
      <c r="AM67" s="1412">
        <v>1</v>
      </c>
    </row>
    <row r="68" spans="1:39" s="482" customFormat="1" ht="12" customHeight="1" thickBot="1">
      <c r="A68" s="1622" t="s">
        <v>1215</v>
      </c>
      <c r="B68" s="1623">
        <v>0.43</v>
      </c>
      <c r="C68" s="1623">
        <v>0.01</v>
      </c>
      <c r="D68" s="1624">
        <v>0</v>
      </c>
      <c r="E68" s="1624">
        <v>0.6</v>
      </c>
      <c r="F68" s="1623">
        <v>7.0000000000000007E-2</v>
      </c>
      <c r="G68" s="1624">
        <v>0</v>
      </c>
      <c r="H68" s="1623">
        <v>0.85</v>
      </c>
      <c r="I68" s="1624">
        <v>0.2</v>
      </c>
      <c r="J68" s="1624">
        <v>0</v>
      </c>
      <c r="K68" s="1624">
        <v>1.07</v>
      </c>
      <c r="L68" s="1624">
        <v>0.35</v>
      </c>
      <c r="M68" s="1624">
        <v>0</v>
      </c>
      <c r="N68" s="1622" t="s">
        <v>1215</v>
      </c>
      <c r="O68" s="1623">
        <v>0.53</v>
      </c>
      <c r="P68" s="1623">
        <v>0.28999999999999998</v>
      </c>
      <c r="Q68" s="1623">
        <v>0.45</v>
      </c>
      <c r="R68" s="1624">
        <v>0.63</v>
      </c>
      <c r="S68" s="1623">
        <v>0.43</v>
      </c>
      <c r="T68" s="1623">
        <v>0.36</v>
      </c>
      <c r="U68" s="1624">
        <v>0.93</v>
      </c>
      <c r="V68" s="1623">
        <v>0.56999999999999995</v>
      </c>
      <c r="W68" s="1623">
        <v>0.55000000000000004</v>
      </c>
      <c r="X68" s="1624">
        <v>1.1000000000000001</v>
      </c>
      <c r="Y68" s="1623">
        <v>0.75</v>
      </c>
      <c r="Z68" s="1623">
        <v>0.63</v>
      </c>
      <c r="AA68" s="1622" t="s">
        <v>1215</v>
      </c>
      <c r="AB68" s="1624">
        <v>1.02</v>
      </c>
      <c r="AC68" s="1624">
        <v>0.53</v>
      </c>
      <c r="AD68" s="1624">
        <v>0.46</v>
      </c>
      <c r="AE68" s="1624">
        <v>1.1599999999999999</v>
      </c>
      <c r="AF68" s="1624">
        <v>0.57999999999999996</v>
      </c>
      <c r="AG68" s="1624">
        <v>0.45</v>
      </c>
      <c r="AH68" s="1624">
        <v>0.92</v>
      </c>
      <c r="AI68" s="1624">
        <v>0.7</v>
      </c>
      <c r="AJ68" s="1624">
        <v>0.75</v>
      </c>
      <c r="AK68" s="1624">
        <v>1.0900000000000001</v>
      </c>
      <c r="AL68" s="1624">
        <v>0.82</v>
      </c>
      <c r="AM68" s="1624">
        <v>0.94</v>
      </c>
    </row>
    <row r="69" spans="1:39">
      <c r="A69" s="203" t="s">
        <v>978</v>
      </c>
      <c r="B69" s="2130" t="s">
        <v>516</v>
      </c>
      <c r="C69" s="2130"/>
      <c r="D69" s="2130"/>
      <c r="E69" s="2130"/>
      <c r="F69" s="2130"/>
      <c r="G69" s="82"/>
      <c r="H69" s="37"/>
      <c r="I69" s="37"/>
      <c r="J69" s="37"/>
      <c r="K69" s="37"/>
      <c r="L69" s="37"/>
      <c r="M69" s="37"/>
      <c r="N69" s="203" t="s">
        <v>978</v>
      </c>
      <c r="O69" s="2130" t="s">
        <v>516</v>
      </c>
      <c r="P69" s="2130"/>
      <c r="Q69" s="2130"/>
      <c r="R69" s="2130"/>
      <c r="S69" s="2130"/>
      <c r="T69" s="2130"/>
      <c r="AA69" s="203" t="s">
        <v>977</v>
      </c>
      <c r="AB69" s="1789" t="s">
        <v>516</v>
      </c>
      <c r="AC69" s="1789"/>
      <c r="AD69" s="1789"/>
      <c r="AE69" s="1789"/>
      <c r="AF69" s="1789"/>
      <c r="AG69" s="41"/>
      <c r="AH69" s="41"/>
      <c r="AI69" s="41"/>
      <c r="AJ69" s="41"/>
      <c r="AK69" s="41"/>
      <c r="AL69" s="41"/>
    </row>
    <row r="70" spans="1:39" ht="9.75" customHeight="1">
      <c r="A70" s="66" t="s">
        <v>979</v>
      </c>
      <c r="B70" s="1839" t="s">
        <v>980</v>
      </c>
      <c r="C70" s="1839"/>
      <c r="D70" s="1839"/>
      <c r="E70" s="1839"/>
      <c r="F70" s="1839"/>
      <c r="G70" s="1839"/>
      <c r="H70" s="37"/>
      <c r="I70" s="37"/>
      <c r="J70" s="37"/>
      <c r="K70" s="37"/>
      <c r="L70" s="37"/>
      <c r="M70" s="37"/>
      <c r="N70" s="200" t="s">
        <v>545</v>
      </c>
      <c r="O70" s="2129" t="s">
        <v>981</v>
      </c>
      <c r="P70" s="2129"/>
      <c r="Q70" s="2129"/>
      <c r="R70" s="2129"/>
      <c r="S70" s="2129"/>
      <c r="T70" s="204"/>
      <c r="U70" s="202"/>
      <c r="V70" s="202"/>
      <c r="W70" s="202"/>
      <c r="X70" s="202"/>
      <c r="Y70" s="202"/>
      <c r="Z70" s="202"/>
      <c r="AA70" s="24" t="s">
        <v>975</v>
      </c>
      <c r="AB70" s="2127" t="s">
        <v>976</v>
      </c>
      <c r="AC70" s="2127"/>
      <c r="AD70" s="2127"/>
      <c r="AE70" s="131"/>
      <c r="AF70" s="131"/>
      <c r="AG70" s="41"/>
      <c r="AH70" s="41"/>
      <c r="AI70" s="41"/>
      <c r="AJ70" s="41"/>
      <c r="AK70" s="41"/>
      <c r="AL70" s="41"/>
    </row>
    <row r="71" spans="1:39">
      <c r="AB71" s="41"/>
      <c r="AC71" s="41"/>
      <c r="AD71" s="41"/>
      <c r="AE71" s="41"/>
      <c r="AF71" s="41"/>
      <c r="AG71" s="41"/>
      <c r="AH71" s="41"/>
      <c r="AI71" s="41"/>
      <c r="AJ71" s="41"/>
      <c r="AK71" s="41"/>
      <c r="AL71" s="41"/>
    </row>
    <row r="73" spans="1:39">
      <c r="N73" s="10"/>
      <c r="AA73" s="10"/>
    </row>
    <row r="74" spans="1:39">
      <c r="N74" s="10"/>
      <c r="AA74" s="10"/>
    </row>
  </sheetData>
  <mergeCells count="33">
    <mergeCell ref="B1:I1"/>
    <mergeCell ref="O1:V1"/>
    <mergeCell ref="AB1:AI1"/>
    <mergeCell ref="A3:A5"/>
    <mergeCell ref="B3:M3"/>
    <mergeCell ref="N3:N5"/>
    <mergeCell ref="O3:Z3"/>
    <mergeCell ref="B4:D4"/>
    <mergeCell ref="O4:Q4"/>
    <mergeCell ref="K4:M4"/>
    <mergeCell ref="K2:M2"/>
    <mergeCell ref="X2:Z2"/>
    <mergeCell ref="AK2:AM2"/>
    <mergeCell ref="K1:M1"/>
    <mergeCell ref="X1:Z1"/>
    <mergeCell ref="U4:W4"/>
    <mergeCell ref="X4:Z4"/>
    <mergeCell ref="AB3:AM3"/>
    <mergeCell ref="AK1:AM1"/>
    <mergeCell ref="AA3:AA5"/>
    <mergeCell ref="R4:T4"/>
    <mergeCell ref="B70:G70"/>
    <mergeCell ref="O70:S70"/>
    <mergeCell ref="O69:T69"/>
    <mergeCell ref="H4:J4"/>
    <mergeCell ref="E4:G4"/>
    <mergeCell ref="B69:F69"/>
    <mergeCell ref="AB70:AD70"/>
    <mergeCell ref="AK4:AM4"/>
    <mergeCell ref="AB4:AD4"/>
    <mergeCell ref="AB69:AF69"/>
    <mergeCell ref="AH4:AJ4"/>
    <mergeCell ref="AE4:AG4"/>
  </mergeCells>
  <phoneticPr fontId="47" type="noConversion"/>
  <pageMargins left="0.59055118110236204" right="0.511811023622047" top="0.511811023622047" bottom="0.511811023622047" header="0" footer="0.43307086614173201"/>
  <pageSetup paperSize="512" firstPageNumber="75" orientation="portrait" useFirstPageNumber="1" r:id="rId1"/>
  <headerFooter>
    <oddFooter>&amp;C&amp;"Times New Roman,Regular"&amp;8&amp;P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P78"/>
  <sheetViews>
    <sheetView showWhiteSpace="0" topLeftCell="A49" zoomScaleNormal="100" workbookViewId="0">
      <selection activeCell="C73" sqref="C73:H73"/>
    </sheetView>
  </sheetViews>
  <sheetFormatPr defaultColWidth="9.140625" defaultRowHeight="11.25"/>
  <cols>
    <col min="1" max="1" width="8.5703125" style="10" customWidth="1"/>
    <col min="2" max="2" width="1.7109375" style="10" customWidth="1"/>
    <col min="3" max="3" width="9.42578125" style="10" customWidth="1"/>
    <col min="4" max="5" width="11.7109375" style="10" customWidth="1"/>
    <col min="6" max="6" width="12" style="10" customWidth="1"/>
    <col min="7" max="7" width="11.85546875" style="10" customWidth="1"/>
    <col min="8" max="8" width="11.140625" style="10" customWidth="1"/>
    <col min="9" max="16384" width="9.140625" style="10"/>
  </cols>
  <sheetData>
    <row r="1" spans="1:8" s="50" customFormat="1" ht="36" customHeight="1">
      <c r="B1" s="2134" t="s">
        <v>2292</v>
      </c>
      <c r="C1" s="2134"/>
      <c r="D1" s="2134"/>
      <c r="E1" s="2134"/>
      <c r="F1" s="2134"/>
      <c r="G1" s="2135" t="s">
        <v>953</v>
      </c>
      <c r="H1" s="2135"/>
    </row>
    <row r="2" spans="1:8" ht="11.25" customHeight="1">
      <c r="A2" s="2123"/>
      <c r="B2" s="2123"/>
      <c r="C2" s="2123"/>
      <c r="D2" s="2123"/>
      <c r="E2" s="2123"/>
      <c r="F2" s="2123"/>
      <c r="G2" s="2136" t="s">
        <v>1159</v>
      </c>
      <c r="H2" s="2136"/>
    </row>
    <row r="3" spans="1:8" s="57" customFormat="1" ht="15.75" customHeight="1">
      <c r="A3" s="2137" t="s">
        <v>1132</v>
      </c>
      <c r="B3" s="192"/>
      <c r="C3" s="2138" t="s">
        <v>1161</v>
      </c>
      <c r="D3" s="1978"/>
      <c r="E3" s="1978"/>
      <c r="F3" s="1978" t="s">
        <v>1164</v>
      </c>
      <c r="G3" s="1978"/>
      <c r="H3" s="1978"/>
    </row>
    <row r="4" spans="1:8" s="57" customFormat="1" ht="15.75" customHeight="1">
      <c r="A4" s="2053"/>
      <c r="B4" s="142"/>
      <c r="C4" s="191" t="s">
        <v>1162</v>
      </c>
      <c r="D4" s="193" t="s">
        <v>1163</v>
      </c>
      <c r="E4" s="30" t="s">
        <v>1131</v>
      </c>
      <c r="F4" s="29" t="s">
        <v>1162</v>
      </c>
      <c r="G4" s="29" t="s">
        <v>1163</v>
      </c>
      <c r="H4" s="29" t="s">
        <v>1131</v>
      </c>
    </row>
    <row r="5" spans="1:8" ht="10.5" hidden="1" customHeight="1">
      <c r="A5" s="12">
        <v>1997</v>
      </c>
      <c r="B5" s="466"/>
      <c r="C5" s="19">
        <v>23.45</v>
      </c>
      <c r="D5" s="19">
        <v>7.08</v>
      </c>
      <c r="E5" s="19">
        <v>8.16</v>
      </c>
      <c r="F5" s="19">
        <v>22.87</v>
      </c>
      <c r="G5" s="19">
        <v>7.38</v>
      </c>
      <c r="H5" s="19">
        <v>8.5500000000000007</v>
      </c>
    </row>
    <row r="6" spans="1:8" ht="10.5" hidden="1" customHeight="1">
      <c r="A6" s="627">
        <v>1998</v>
      </c>
      <c r="B6" s="627"/>
      <c r="C6" s="580">
        <v>20.61</v>
      </c>
      <c r="D6" s="580">
        <v>6.9</v>
      </c>
      <c r="E6" s="580">
        <v>8.43</v>
      </c>
      <c r="F6" s="580">
        <v>21.89</v>
      </c>
      <c r="G6" s="580">
        <v>7.02</v>
      </c>
      <c r="H6" s="580">
        <v>8.64</v>
      </c>
    </row>
    <row r="7" spans="1:8" ht="10.5" hidden="1" customHeight="1">
      <c r="A7" s="466">
        <v>1999</v>
      </c>
      <c r="B7" s="466"/>
      <c r="C7" s="19">
        <v>12.8</v>
      </c>
      <c r="D7" s="19">
        <v>5.05</v>
      </c>
      <c r="E7" s="19">
        <v>7.15</v>
      </c>
      <c r="F7" s="19">
        <v>13.68</v>
      </c>
      <c r="G7" s="19">
        <v>5.03</v>
      </c>
      <c r="H7" s="19">
        <v>7.61</v>
      </c>
    </row>
    <row r="8" spans="1:8" ht="10.5" customHeight="1">
      <c r="A8" s="627">
        <v>2000</v>
      </c>
      <c r="B8" s="627"/>
      <c r="C8" s="580" t="s">
        <v>198</v>
      </c>
      <c r="D8" s="580">
        <v>4.82</v>
      </c>
      <c r="E8" s="580">
        <v>6.82</v>
      </c>
      <c r="F8" s="580">
        <v>10.95</v>
      </c>
      <c r="G8" s="580">
        <v>5.2</v>
      </c>
      <c r="H8" s="580">
        <v>7.21</v>
      </c>
    </row>
    <row r="9" spans="1:8" ht="10.5" customHeight="1">
      <c r="A9" s="466">
        <v>2001</v>
      </c>
      <c r="B9" s="466"/>
      <c r="C9" s="19">
        <v>18.29</v>
      </c>
      <c r="D9" s="19">
        <v>4.53</v>
      </c>
      <c r="E9" s="19">
        <v>8.26</v>
      </c>
      <c r="F9" s="19">
        <v>19.16</v>
      </c>
      <c r="G9" s="19">
        <v>4.79</v>
      </c>
      <c r="H9" s="19">
        <v>8.57</v>
      </c>
    </row>
    <row r="10" spans="1:8" ht="10.5" customHeight="1">
      <c r="A10" s="627">
        <v>2002</v>
      </c>
      <c r="B10" s="627"/>
      <c r="C10" s="580">
        <v>33.53</v>
      </c>
      <c r="D10" s="580">
        <v>2.0499999999999998</v>
      </c>
      <c r="E10" s="580">
        <v>9.49</v>
      </c>
      <c r="F10" s="580">
        <v>35.39</v>
      </c>
      <c r="G10" s="580">
        <v>2.77</v>
      </c>
      <c r="H10" s="580">
        <v>9.56</v>
      </c>
    </row>
    <row r="11" spans="1:8" ht="10.5" customHeight="1">
      <c r="A11" s="466">
        <v>2003</v>
      </c>
      <c r="B11" s="466"/>
      <c r="C11" s="19">
        <v>33.25</v>
      </c>
      <c r="D11" s="19">
        <v>1.82</v>
      </c>
      <c r="E11" s="19">
        <v>6.88</v>
      </c>
      <c r="F11" s="19">
        <v>34.99</v>
      </c>
      <c r="G11" s="19">
        <v>2.56</v>
      </c>
      <c r="H11" s="19">
        <v>8.17</v>
      </c>
    </row>
    <row r="12" spans="1:8" ht="10.5" customHeight="1">
      <c r="A12" s="627">
        <v>2004</v>
      </c>
      <c r="B12" s="627"/>
      <c r="C12" s="580">
        <v>50</v>
      </c>
      <c r="D12" s="580">
        <v>2.1</v>
      </c>
      <c r="E12" s="580">
        <v>4.93</v>
      </c>
      <c r="F12" s="580">
        <v>54.66</v>
      </c>
      <c r="G12" s="580">
        <v>1.89</v>
      </c>
      <c r="H12" s="580">
        <v>5.74</v>
      </c>
    </row>
    <row r="13" spans="1:8" ht="10.5" customHeight="1">
      <c r="A13" s="466">
        <v>2005</v>
      </c>
      <c r="B13" s="466"/>
      <c r="C13" s="19">
        <v>32.450000000000003</v>
      </c>
      <c r="D13" s="19">
        <v>3</v>
      </c>
      <c r="E13" s="19">
        <v>9.57</v>
      </c>
      <c r="F13" s="19">
        <v>32.450000000000003</v>
      </c>
      <c r="G13" s="19">
        <v>3</v>
      </c>
      <c r="H13" s="19">
        <v>9.57</v>
      </c>
    </row>
    <row r="14" spans="1:8" ht="10.5" customHeight="1">
      <c r="A14" s="627">
        <v>2006</v>
      </c>
      <c r="B14" s="627"/>
      <c r="C14" s="580">
        <v>120</v>
      </c>
      <c r="D14" s="580">
        <v>3</v>
      </c>
      <c r="E14" s="580">
        <v>11.113333333333335</v>
      </c>
      <c r="F14" s="580">
        <v>120</v>
      </c>
      <c r="G14" s="580">
        <v>3</v>
      </c>
      <c r="H14" s="580">
        <v>11.113333333333335</v>
      </c>
    </row>
    <row r="15" spans="1:8" ht="10.5" customHeight="1">
      <c r="A15" s="466">
        <v>2007</v>
      </c>
      <c r="B15" s="466"/>
      <c r="C15" s="19">
        <v>18</v>
      </c>
      <c r="D15" s="19">
        <v>6</v>
      </c>
      <c r="E15" s="19">
        <v>7.3691666666666666</v>
      </c>
      <c r="F15" s="19">
        <v>18</v>
      </c>
      <c r="G15" s="19">
        <v>6</v>
      </c>
      <c r="H15" s="19">
        <v>7.3691666666666666</v>
      </c>
    </row>
    <row r="16" spans="1:8" ht="10.5" customHeight="1">
      <c r="A16" s="627">
        <v>2008</v>
      </c>
      <c r="B16" s="627"/>
      <c r="C16" s="580">
        <v>22</v>
      </c>
      <c r="D16" s="580">
        <v>1</v>
      </c>
      <c r="E16" s="580">
        <v>10.24</v>
      </c>
      <c r="F16" s="580">
        <v>22</v>
      </c>
      <c r="G16" s="580">
        <v>1</v>
      </c>
      <c r="H16" s="580">
        <v>10.24</v>
      </c>
    </row>
    <row r="17" spans="1:8" ht="10.5" customHeight="1">
      <c r="A17" s="466">
        <v>2009</v>
      </c>
      <c r="B17" s="466"/>
      <c r="C17" s="19">
        <v>19</v>
      </c>
      <c r="D17" s="19">
        <v>0.05</v>
      </c>
      <c r="E17" s="19">
        <v>4.3883333333333336</v>
      </c>
      <c r="F17" s="19">
        <v>19</v>
      </c>
      <c r="G17" s="19">
        <v>0.05</v>
      </c>
      <c r="H17" s="19">
        <v>4.3883333333333336</v>
      </c>
    </row>
    <row r="18" spans="1:8" ht="10.5" customHeight="1">
      <c r="A18" s="627">
        <v>2010</v>
      </c>
      <c r="B18" s="627"/>
      <c r="C18" s="580">
        <v>190</v>
      </c>
      <c r="D18" s="580">
        <v>2</v>
      </c>
      <c r="E18" s="580">
        <v>8.0549999999999997</v>
      </c>
      <c r="F18" s="580">
        <v>190</v>
      </c>
      <c r="G18" s="580">
        <v>2</v>
      </c>
      <c r="H18" s="580">
        <v>8.0549999999999997</v>
      </c>
    </row>
    <row r="19" spans="1:8" s="317" customFormat="1" ht="10.5" customHeight="1">
      <c r="A19" s="884">
        <v>2011</v>
      </c>
      <c r="B19" s="884"/>
      <c r="C19" s="20">
        <v>24</v>
      </c>
      <c r="D19" s="20">
        <v>3</v>
      </c>
      <c r="E19" s="20">
        <v>11.16</v>
      </c>
      <c r="F19" s="20">
        <v>24</v>
      </c>
      <c r="G19" s="20">
        <v>3</v>
      </c>
      <c r="H19" s="20">
        <v>11.16</v>
      </c>
    </row>
    <row r="20" spans="1:8" s="317" customFormat="1" ht="10.5" customHeight="1">
      <c r="A20" s="1214">
        <v>2012</v>
      </c>
      <c r="B20" s="1214"/>
      <c r="C20" s="580">
        <v>22</v>
      </c>
      <c r="D20" s="580">
        <v>3</v>
      </c>
      <c r="E20" s="580">
        <v>12.822499999999998</v>
      </c>
      <c r="F20" s="580">
        <v>22</v>
      </c>
      <c r="G20" s="580">
        <v>3</v>
      </c>
      <c r="H20" s="580">
        <v>12.822499999999998</v>
      </c>
    </row>
    <row r="21" spans="1:8" s="315" customFormat="1" ht="10.5" customHeight="1">
      <c r="A21" s="168">
        <v>2013</v>
      </c>
      <c r="C21" s="259">
        <f>MAX(C22:C33)</f>
        <v>13</v>
      </c>
      <c r="D21" s="259">
        <f>MIN(D22:D33)</f>
        <v>5.0999999999999996</v>
      </c>
      <c r="E21" s="259">
        <f>AVERAGE(E22:E33)</f>
        <v>7.775833333333332</v>
      </c>
      <c r="F21" s="259">
        <f>MAX(F22:F33)</f>
        <v>13</v>
      </c>
      <c r="G21" s="259">
        <f>MIN(G22:G33)</f>
        <v>5.0999999999999996</v>
      </c>
      <c r="H21" s="259">
        <f>AVERAGE(H22:H33)</f>
        <v>7.775833333333332</v>
      </c>
    </row>
    <row r="22" spans="1:8" s="315" customFormat="1" ht="10.5" hidden="1" customHeight="1">
      <c r="A22" s="556" t="s">
        <v>1215</v>
      </c>
      <c r="B22" s="543"/>
      <c r="C22" s="537">
        <v>13</v>
      </c>
      <c r="D22" s="537">
        <v>6.25</v>
      </c>
      <c r="E22" s="537">
        <v>10.29</v>
      </c>
      <c r="F22" s="537">
        <v>13</v>
      </c>
      <c r="G22" s="537">
        <v>6.25</v>
      </c>
      <c r="H22" s="537">
        <v>10.29</v>
      </c>
    </row>
    <row r="23" spans="1:8" s="315" customFormat="1" ht="10.5" hidden="1" customHeight="1">
      <c r="A23" s="257" t="s">
        <v>1216</v>
      </c>
      <c r="C23" s="43">
        <v>11</v>
      </c>
      <c r="D23" s="43">
        <v>6</v>
      </c>
      <c r="E23" s="43">
        <v>8.9499999999999993</v>
      </c>
      <c r="F23" s="43">
        <v>11</v>
      </c>
      <c r="G23" s="43">
        <v>6</v>
      </c>
      <c r="H23" s="43">
        <v>8.9499999999999993</v>
      </c>
    </row>
    <row r="24" spans="1:8" s="315" customFormat="1" ht="10.5" hidden="1" customHeight="1">
      <c r="A24" s="556" t="s">
        <v>1208</v>
      </c>
      <c r="B24" s="543"/>
      <c r="C24" s="537">
        <v>9</v>
      </c>
      <c r="D24" s="537">
        <v>5.25</v>
      </c>
      <c r="E24" s="537">
        <v>7.5</v>
      </c>
      <c r="F24" s="537">
        <v>9</v>
      </c>
      <c r="G24" s="537">
        <v>5.25</v>
      </c>
      <c r="H24" s="537">
        <v>7.5</v>
      </c>
    </row>
    <row r="25" spans="1:8" s="315" customFormat="1" ht="10.5" hidden="1" customHeight="1">
      <c r="A25" s="257" t="s">
        <v>1217</v>
      </c>
      <c r="C25" s="43">
        <v>8.5</v>
      </c>
      <c r="D25" s="43">
        <v>5.25</v>
      </c>
      <c r="E25" s="43">
        <v>7.35</v>
      </c>
      <c r="F25" s="43">
        <v>8.5</v>
      </c>
      <c r="G25" s="43">
        <v>5.25</v>
      </c>
      <c r="H25" s="43">
        <v>7.35</v>
      </c>
    </row>
    <row r="26" spans="1:8" s="315" customFormat="1" ht="10.5" hidden="1" customHeight="1">
      <c r="A26" s="556" t="s">
        <v>1218</v>
      </c>
      <c r="B26" s="543"/>
      <c r="C26" s="537">
        <v>9.5</v>
      </c>
      <c r="D26" s="537">
        <v>5.0999999999999996</v>
      </c>
      <c r="E26" s="537">
        <v>7.15</v>
      </c>
      <c r="F26" s="537">
        <v>9.5</v>
      </c>
      <c r="G26" s="537">
        <v>5.0999999999999996</v>
      </c>
      <c r="H26" s="537">
        <v>7.15</v>
      </c>
    </row>
    <row r="27" spans="1:8" s="315" customFormat="1" ht="10.5" hidden="1" customHeight="1">
      <c r="A27" s="257" t="s">
        <v>1209</v>
      </c>
      <c r="C27" s="43">
        <v>8.25</v>
      </c>
      <c r="D27" s="43">
        <v>5.25</v>
      </c>
      <c r="E27" s="43">
        <v>7.17</v>
      </c>
      <c r="F27" s="43">
        <v>8.25</v>
      </c>
      <c r="G27" s="43">
        <v>5.25</v>
      </c>
      <c r="H27" s="43">
        <v>7.17</v>
      </c>
    </row>
    <row r="28" spans="1:8" s="315" customFormat="1" ht="10.5" hidden="1" customHeight="1">
      <c r="A28" s="556" t="s">
        <v>1211</v>
      </c>
      <c r="B28" s="543"/>
      <c r="C28" s="537">
        <v>8.5</v>
      </c>
      <c r="D28" s="537">
        <v>5.25</v>
      </c>
      <c r="E28" s="537">
        <v>7.44</v>
      </c>
      <c r="F28" s="537">
        <v>8.5</v>
      </c>
      <c r="G28" s="537">
        <v>5.25</v>
      </c>
      <c r="H28" s="537">
        <v>7.44</v>
      </c>
    </row>
    <row r="29" spans="1:8" s="315" customFormat="1" ht="10.5" hidden="1" customHeight="1">
      <c r="A29" s="257" t="s">
        <v>1212</v>
      </c>
      <c r="C29" s="43">
        <v>9.5</v>
      </c>
      <c r="D29" s="43">
        <v>5.4</v>
      </c>
      <c r="E29" s="43">
        <v>8.11</v>
      </c>
      <c r="F29" s="43">
        <v>9.5</v>
      </c>
      <c r="G29" s="43">
        <v>5.4</v>
      </c>
      <c r="H29" s="43">
        <v>8.11</v>
      </c>
    </row>
    <row r="30" spans="1:8" s="315" customFormat="1" ht="10.5" hidden="1" customHeight="1">
      <c r="A30" s="556" t="s">
        <v>1206</v>
      </c>
      <c r="B30" s="543"/>
      <c r="C30" s="537">
        <v>9.25</v>
      </c>
      <c r="D30" s="537">
        <v>5.5</v>
      </c>
      <c r="E30" s="537">
        <v>7.43</v>
      </c>
      <c r="F30" s="537">
        <v>9.25</v>
      </c>
      <c r="G30" s="537">
        <v>5.5</v>
      </c>
      <c r="H30" s="537">
        <v>7.43</v>
      </c>
    </row>
    <row r="31" spans="1:8" s="315" customFormat="1" ht="10.5" hidden="1" customHeight="1">
      <c r="A31" s="257" t="s">
        <v>1213</v>
      </c>
      <c r="C31" s="43">
        <v>10</v>
      </c>
      <c r="D31" s="43">
        <v>5.5</v>
      </c>
      <c r="E31" s="43">
        <v>7.78</v>
      </c>
      <c r="F31" s="43">
        <v>10</v>
      </c>
      <c r="G31" s="43">
        <v>5.5</v>
      </c>
      <c r="H31" s="43">
        <v>7.78</v>
      </c>
    </row>
    <row r="32" spans="1:8" s="315" customFormat="1" ht="10.5" hidden="1" customHeight="1">
      <c r="A32" s="556" t="s">
        <v>1214</v>
      </c>
      <c r="B32" s="543"/>
      <c r="C32" s="537">
        <v>8</v>
      </c>
      <c r="D32" s="537">
        <v>5.5</v>
      </c>
      <c r="E32" s="537">
        <v>7.03</v>
      </c>
      <c r="F32" s="537">
        <v>8</v>
      </c>
      <c r="G32" s="537">
        <v>5.5</v>
      </c>
      <c r="H32" s="537">
        <v>7.03</v>
      </c>
    </row>
    <row r="33" spans="1:8" s="315" customFormat="1" ht="10.5" hidden="1" customHeight="1">
      <c r="A33" s="257" t="s">
        <v>1207</v>
      </c>
      <c r="C33" s="43">
        <v>8</v>
      </c>
      <c r="D33" s="43">
        <v>5.5</v>
      </c>
      <c r="E33" s="43">
        <v>7.11</v>
      </c>
      <c r="F33" s="43">
        <v>8</v>
      </c>
      <c r="G33" s="43">
        <v>5.5</v>
      </c>
      <c r="H33" s="43">
        <v>7.11</v>
      </c>
    </row>
    <row r="34" spans="1:8" s="315" customFormat="1" ht="10.5" customHeight="1">
      <c r="A34" s="557">
        <v>2014</v>
      </c>
      <c r="B34" s="545"/>
      <c r="C34" s="542">
        <f>MAX(C35:C46)</f>
        <v>9.9</v>
      </c>
      <c r="D34" s="542">
        <f>MIN(D35:D46)</f>
        <v>5</v>
      </c>
      <c r="E34" s="542">
        <f>AVERAGE(E35:E46)</f>
        <v>7.1399999999999979</v>
      </c>
      <c r="F34" s="542">
        <f>MAX(F35:F46)</f>
        <v>9.9</v>
      </c>
      <c r="G34" s="542">
        <f>MIN(G35:G46)</f>
        <v>5</v>
      </c>
      <c r="H34" s="542">
        <f>AVERAGE(H35:H46)</f>
        <v>7.1399999999999979</v>
      </c>
    </row>
    <row r="35" spans="1:8" s="315" customFormat="1" ht="10.5" customHeight="1">
      <c r="A35" s="257" t="s">
        <v>1215</v>
      </c>
      <c r="C35" s="43">
        <v>8.1</v>
      </c>
      <c r="D35" s="43">
        <v>5.5</v>
      </c>
      <c r="E35" s="43">
        <v>7.17</v>
      </c>
      <c r="F35" s="43">
        <v>8.1</v>
      </c>
      <c r="G35" s="43">
        <v>5.5</v>
      </c>
      <c r="H35" s="43">
        <v>7.17</v>
      </c>
    </row>
    <row r="36" spans="1:8" s="315" customFormat="1" ht="10.5" customHeight="1">
      <c r="A36" s="556" t="s">
        <v>1216</v>
      </c>
      <c r="B36" s="543"/>
      <c r="C36" s="537">
        <v>8.25</v>
      </c>
      <c r="D36" s="537">
        <v>5.25</v>
      </c>
      <c r="E36" s="537">
        <v>7.08</v>
      </c>
      <c r="F36" s="537">
        <v>8.25</v>
      </c>
      <c r="G36" s="537">
        <v>5.25</v>
      </c>
      <c r="H36" s="537">
        <v>7.08</v>
      </c>
    </row>
    <row r="37" spans="1:8" s="315" customFormat="1" ht="10.5" customHeight="1">
      <c r="A37" s="257" t="s">
        <v>1208</v>
      </c>
      <c r="C37" s="43">
        <v>8.25</v>
      </c>
      <c r="D37" s="43">
        <v>5.05</v>
      </c>
      <c r="E37" s="43">
        <v>7.16</v>
      </c>
      <c r="F37" s="43">
        <v>8.25</v>
      </c>
      <c r="G37" s="43">
        <v>5.05</v>
      </c>
      <c r="H37" s="43">
        <v>7.16</v>
      </c>
    </row>
    <row r="38" spans="1:8" s="315" customFormat="1" ht="10.5" customHeight="1">
      <c r="A38" s="556" t="s">
        <v>1217</v>
      </c>
      <c r="B38" s="543"/>
      <c r="C38" s="537">
        <v>8.5</v>
      </c>
      <c r="D38" s="537">
        <v>5</v>
      </c>
      <c r="E38" s="537">
        <v>7.35</v>
      </c>
      <c r="F38" s="537">
        <v>8.5</v>
      </c>
      <c r="G38" s="537">
        <v>5</v>
      </c>
      <c r="H38" s="537">
        <v>7.35</v>
      </c>
    </row>
    <row r="39" spans="1:8" s="315" customFormat="1" ht="10.5" customHeight="1">
      <c r="A39" s="257" t="s">
        <v>1218</v>
      </c>
      <c r="C39" s="43">
        <v>7.5</v>
      </c>
      <c r="D39" s="43">
        <v>5.0999999999999996</v>
      </c>
      <c r="E39" s="43">
        <v>6.5</v>
      </c>
      <c r="F39" s="43">
        <v>7.5</v>
      </c>
      <c r="G39" s="43">
        <v>5.0999999999999996</v>
      </c>
      <c r="H39" s="43">
        <v>6.5</v>
      </c>
    </row>
    <row r="40" spans="1:8" s="315" customFormat="1" ht="10.5" customHeight="1">
      <c r="A40" s="556" t="s">
        <v>1209</v>
      </c>
      <c r="B40" s="543"/>
      <c r="C40" s="537">
        <v>7.5</v>
      </c>
      <c r="D40" s="537">
        <v>5</v>
      </c>
      <c r="E40" s="537">
        <v>6.25</v>
      </c>
      <c r="F40" s="537">
        <v>7.5</v>
      </c>
      <c r="G40" s="537">
        <v>5.0999999999999996</v>
      </c>
      <c r="H40" s="537">
        <v>6.25</v>
      </c>
    </row>
    <row r="41" spans="1:8" s="315" customFormat="1" ht="10.5" customHeight="1">
      <c r="A41" s="257" t="s">
        <v>1211</v>
      </c>
      <c r="C41" s="43">
        <v>8.25</v>
      </c>
      <c r="D41" s="43">
        <v>5.25</v>
      </c>
      <c r="E41" s="43">
        <v>6.68</v>
      </c>
      <c r="F41" s="43">
        <v>8.25</v>
      </c>
      <c r="G41" s="43">
        <v>5.25</v>
      </c>
      <c r="H41" s="43">
        <v>6.68</v>
      </c>
    </row>
    <row r="42" spans="1:8" s="315" customFormat="1" ht="10.5" customHeight="1">
      <c r="A42" s="556" t="s">
        <v>1212</v>
      </c>
      <c r="B42" s="543"/>
      <c r="C42" s="537">
        <v>8.25</v>
      </c>
      <c r="D42" s="537">
        <v>5.25</v>
      </c>
      <c r="E42" s="537">
        <v>6.52</v>
      </c>
      <c r="F42" s="537">
        <v>8.25</v>
      </c>
      <c r="G42" s="537">
        <v>5.25</v>
      </c>
      <c r="H42" s="537">
        <v>6.52</v>
      </c>
    </row>
    <row r="43" spans="1:8" s="315" customFormat="1" ht="10.5" customHeight="1">
      <c r="A43" s="257" t="s">
        <v>1206</v>
      </c>
      <c r="C43" s="43">
        <v>9</v>
      </c>
      <c r="D43" s="43">
        <v>5.25</v>
      </c>
      <c r="E43" s="43">
        <v>6.86</v>
      </c>
      <c r="F43" s="43">
        <v>9</v>
      </c>
      <c r="G43" s="43">
        <v>5.25</v>
      </c>
      <c r="H43" s="43">
        <v>6.86</v>
      </c>
    </row>
    <row r="44" spans="1:8" s="315" customFormat="1" ht="10.5" customHeight="1">
      <c r="A44" s="556" t="s">
        <v>1213</v>
      </c>
      <c r="B44" s="543"/>
      <c r="C44" s="537">
        <v>9.5</v>
      </c>
      <c r="D44" s="537">
        <v>6</v>
      </c>
      <c r="E44" s="537">
        <v>8.41</v>
      </c>
      <c r="F44" s="537">
        <v>9.5</v>
      </c>
      <c r="G44" s="537">
        <v>6</v>
      </c>
      <c r="H44" s="537">
        <v>8.41</v>
      </c>
    </row>
    <row r="45" spans="1:8" s="315" customFormat="1" ht="10.5" customHeight="1">
      <c r="A45" s="257" t="s">
        <v>1214</v>
      </c>
      <c r="C45" s="43">
        <v>8.75</v>
      </c>
      <c r="D45" s="43">
        <v>5.75</v>
      </c>
      <c r="E45" s="43">
        <v>7.77</v>
      </c>
      <c r="F45" s="43">
        <v>8.75</v>
      </c>
      <c r="G45" s="43">
        <v>5.75</v>
      </c>
      <c r="H45" s="43">
        <v>7.77</v>
      </c>
    </row>
    <row r="46" spans="1:8" s="315" customFormat="1" ht="10.5" customHeight="1">
      <c r="A46" s="556" t="s">
        <v>1207</v>
      </c>
      <c r="B46" s="543"/>
      <c r="C46" s="537">
        <v>9.9</v>
      </c>
      <c r="D46" s="537">
        <v>5.5</v>
      </c>
      <c r="E46" s="537">
        <v>7.93</v>
      </c>
      <c r="F46" s="537">
        <v>9.9</v>
      </c>
      <c r="G46" s="537">
        <v>5.5</v>
      </c>
      <c r="H46" s="537">
        <v>7.93</v>
      </c>
    </row>
    <row r="47" spans="1:8" s="315" customFormat="1" ht="10.5" customHeight="1">
      <c r="A47" s="168">
        <v>2015</v>
      </c>
      <c r="B47" s="353"/>
      <c r="C47" s="259">
        <f>MAX(C48:C75)</f>
        <v>9.9</v>
      </c>
      <c r="D47" s="259">
        <f>MIN(D48:D75)</f>
        <v>1</v>
      </c>
      <c r="E47" s="259">
        <f>AVERAGE(E48:E75)</f>
        <v>4.8311242603550317</v>
      </c>
      <c r="F47" s="259">
        <f>MAX(F48:F75)</f>
        <v>9.9</v>
      </c>
      <c r="G47" s="259">
        <f>MIN(G48:G75)</f>
        <v>1</v>
      </c>
      <c r="H47" s="259">
        <f>AVERAGE(H48:H75)</f>
        <v>4.8068934911242627</v>
      </c>
    </row>
    <row r="48" spans="1:8" s="315" customFormat="1" ht="10.5" customHeight="1">
      <c r="A48" s="556" t="s">
        <v>1215</v>
      </c>
      <c r="B48" s="543"/>
      <c r="C48" s="537">
        <v>9.9</v>
      </c>
      <c r="D48" s="537">
        <v>5.6</v>
      </c>
      <c r="E48" s="537">
        <v>8.57</v>
      </c>
      <c r="F48" s="537">
        <v>9.9</v>
      </c>
      <c r="G48" s="537">
        <v>5.5</v>
      </c>
      <c r="H48" s="537">
        <v>7.93</v>
      </c>
    </row>
    <row r="49" spans="1:16" s="315" customFormat="1" ht="10.5" customHeight="1">
      <c r="A49" s="257" t="s">
        <v>1216</v>
      </c>
      <c r="C49" s="43">
        <v>9.25</v>
      </c>
      <c r="D49" s="43">
        <v>6.75</v>
      </c>
      <c r="E49" s="43">
        <v>8.2100000000000009</v>
      </c>
      <c r="F49" s="43">
        <v>9.25</v>
      </c>
      <c r="G49" s="43">
        <v>6.75</v>
      </c>
      <c r="H49" s="43">
        <v>8.2100000000000009</v>
      </c>
    </row>
    <row r="50" spans="1:16" s="315" customFormat="1" ht="10.5" customHeight="1">
      <c r="A50" s="556" t="s">
        <v>1208</v>
      </c>
      <c r="B50" s="543"/>
      <c r="C50" s="537">
        <v>8</v>
      </c>
      <c r="D50" s="537">
        <v>6.75</v>
      </c>
      <c r="E50" s="537">
        <v>7.66</v>
      </c>
      <c r="F50" s="537">
        <v>8</v>
      </c>
      <c r="G50" s="537">
        <v>6.75</v>
      </c>
      <c r="H50" s="537">
        <v>7.66</v>
      </c>
    </row>
    <row r="51" spans="1:16" s="315" customFormat="1" ht="10.5" customHeight="1">
      <c r="A51" s="257" t="s">
        <v>1217</v>
      </c>
      <c r="C51" s="43">
        <v>8</v>
      </c>
      <c r="D51" s="43">
        <v>6.5</v>
      </c>
      <c r="E51" s="43">
        <v>7.57</v>
      </c>
      <c r="F51" s="43">
        <v>8</v>
      </c>
      <c r="G51" s="43">
        <v>6.5</v>
      </c>
      <c r="H51" s="43">
        <v>7.57</v>
      </c>
    </row>
    <row r="52" spans="1:16" s="843" customFormat="1" ht="10.5" customHeight="1">
      <c r="A52" s="757" t="s">
        <v>1218</v>
      </c>
      <c r="B52" s="605"/>
      <c r="C52" s="531">
        <v>8</v>
      </c>
      <c r="D52" s="531">
        <v>5.05</v>
      </c>
      <c r="E52" s="531">
        <v>6.4</v>
      </c>
      <c r="F52" s="531">
        <v>8</v>
      </c>
      <c r="G52" s="531">
        <v>5.05</v>
      </c>
      <c r="H52" s="531">
        <v>6.41</v>
      </c>
      <c r="I52" s="315"/>
      <c r="J52" s="315"/>
      <c r="K52" s="315"/>
      <c r="L52" s="315"/>
      <c r="M52" s="315"/>
      <c r="N52" s="315"/>
      <c r="O52" s="315"/>
      <c r="P52" s="315"/>
    </row>
    <row r="53" spans="1:16" s="843" customFormat="1" ht="10.5" customHeight="1">
      <c r="A53" s="743" t="s">
        <v>1209</v>
      </c>
      <c r="B53" s="480"/>
      <c r="C53" s="483">
        <v>6.75</v>
      </c>
      <c r="D53" s="483">
        <v>5</v>
      </c>
      <c r="E53" s="483">
        <v>5.79</v>
      </c>
      <c r="F53" s="483">
        <v>6.75</v>
      </c>
      <c r="G53" s="483">
        <v>5</v>
      </c>
      <c r="H53" s="483">
        <v>5.79</v>
      </c>
      <c r="I53" s="315"/>
      <c r="J53" s="315"/>
      <c r="K53" s="315"/>
      <c r="L53" s="315"/>
      <c r="M53" s="315"/>
      <c r="N53" s="315"/>
      <c r="O53" s="315"/>
      <c r="P53" s="315"/>
    </row>
    <row r="54" spans="1:16" s="843" customFormat="1" ht="10.5" customHeight="1">
      <c r="A54" s="757" t="s">
        <v>1211</v>
      </c>
      <c r="B54" s="605"/>
      <c r="C54" s="531">
        <v>6.5</v>
      </c>
      <c r="D54" s="531">
        <v>5</v>
      </c>
      <c r="E54" s="531">
        <v>5.67</v>
      </c>
      <c r="F54" s="531">
        <v>6.5</v>
      </c>
      <c r="G54" s="531">
        <v>5</v>
      </c>
      <c r="H54" s="531">
        <v>5.67</v>
      </c>
      <c r="I54" s="315"/>
      <c r="J54" s="315"/>
      <c r="K54" s="315"/>
      <c r="L54" s="315"/>
      <c r="M54" s="315"/>
      <c r="N54" s="315"/>
      <c r="O54" s="315"/>
      <c r="P54" s="315"/>
    </row>
    <row r="55" spans="1:16" s="843" customFormat="1" ht="10.5" customHeight="1">
      <c r="A55" s="743" t="s">
        <v>1212</v>
      </c>
      <c r="B55" s="480"/>
      <c r="C55" s="483">
        <v>6.5</v>
      </c>
      <c r="D55" s="483">
        <v>5.25</v>
      </c>
      <c r="E55" s="483">
        <v>5.63</v>
      </c>
      <c r="F55" s="483">
        <v>6.5</v>
      </c>
      <c r="G55" s="483">
        <v>5.25</v>
      </c>
      <c r="H55" s="483">
        <v>5.63</v>
      </c>
      <c r="I55" s="315"/>
      <c r="J55" s="315"/>
      <c r="K55" s="315"/>
      <c r="L55" s="315"/>
      <c r="M55" s="315"/>
      <c r="N55" s="315"/>
      <c r="O55" s="315"/>
      <c r="P55" s="315"/>
    </row>
    <row r="56" spans="1:16" s="843" customFormat="1" ht="10.5" customHeight="1">
      <c r="A56" s="757" t="s">
        <v>1206</v>
      </c>
      <c r="B56" s="605"/>
      <c r="C56" s="531">
        <v>6.5</v>
      </c>
      <c r="D56" s="531">
        <v>5.25</v>
      </c>
      <c r="E56" s="531">
        <v>5.71</v>
      </c>
      <c r="F56" s="531">
        <v>6.5</v>
      </c>
      <c r="G56" s="531">
        <v>5.25</v>
      </c>
      <c r="H56" s="531">
        <v>5.71</v>
      </c>
      <c r="I56" s="315"/>
      <c r="J56" s="315"/>
      <c r="K56" s="315"/>
      <c r="L56" s="315"/>
      <c r="M56" s="315"/>
      <c r="N56" s="315"/>
      <c r="O56" s="315"/>
      <c r="P56" s="315"/>
    </row>
    <row r="57" spans="1:16" s="843" customFormat="1" ht="10.5" customHeight="1">
      <c r="A57" s="743" t="s">
        <v>1213</v>
      </c>
      <c r="B57" s="480"/>
      <c r="C57" s="483">
        <v>6.5</v>
      </c>
      <c r="D57" s="483">
        <v>3</v>
      </c>
      <c r="E57" s="483">
        <v>5.63</v>
      </c>
      <c r="F57" s="483">
        <v>6.5</v>
      </c>
      <c r="G57" s="483">
        <v>3</v>
      </c>
      <c r="H57" s="483">
        <v>5.63</v>
      </c>
      <c r="I57" s="315"/>
      <c r="J57" s="315"/>
      <c r="K57" s="315"/>
      <c r="L57" s="315"/>
      <c r="M57" s="315"/>
      <c r="N57" s="315"/>
      <c r="O57" s="315"/>
      <c r="P57" s="315"/>
    </row>
    <row r="58" spans="1:16" s="843" customFormat="1" ht="10.5" customHeight="1">
      <c r="A58" s="757" t="s">
        <v>1214</v>
      </c>
      <c r="B58" s="605"/>
      <c r="C58" s="531">
        <v>5.5</v>
      </c>
      <c r="D58" s="531">
        <v>2.25</v>
      </c>
      <c r="E58" s="531">
        <v>3.85</v>
      </c>
      <c r="F58" s="531">
        <v>5.5</v>
      </c>
      <c r="G58" s="531">
        <v>2.25</v>
      </c>
      <c r="H58" s="531">
        <v>3.85</v>
      </c>
      <c r="I58" s="315"/>
      <c r="J58" s="315"/>
      <c r="K58" s="315"/>
      <c r="L58" s="315"/>
      <c r="M58" s="315"/>
      <c r="N58" s="315"/>
      <c r="O58" s="315"/>
      <c r="P58" s="315"/>
    </row>
    <row r="59" spans="1:16" s="843" customFormat="1" ht="10.5" customHeight="1">
      <c r="A59" s="743" t="s">
        <v>1207</v>
      </c>
      <c r="B59" s="480"/>
      <c r="C59" s="483">
        <v>4.5</v>
      </c>
      <c r="D59" s="483">
        <v>1.25</v>
      </c>
      <c r="E59" s="483">
        <v>3.69</v>
      </c>
      <c r="F59" s="483">
        <v>4.5</v>
      </c>
      <c r="G59" s="483">
        <v>1.25</v>
      </c>
      <c r="H59" s="483">
        <v>3.69</v>
      </c>
      <c r="I59" s="315"/>
      <c r="J59" s="315"/>
      <c r="K59" s="315"/>
      <c r="L59" s="315"/>
      <c r="M59" s="315"/>
      <c r="N59" s="315"/>
      <c r="O59" s="315"/>
      <c r="P59" s="315"/>
    </row>
    <row r="60" spans="1:16" s="843" customFormat="1" ht="10.5" customHeight="1">
      <c r="A60" s="1048">
        <v>2016</v>
      </c>
      <c r="B60" s="605"/>
      <c r="C60" s="542">
        <f>MAX(C61:C88)</f>
        <v>5</v>
      </c>
      <c r="D60" s="542">
        <f>MIN(D61:D88)</f>
        <v>1</v>
      </c>
      <c r="E60" s="542">
        <f>AVERAGE(E61:E88)</f>
        <v>3.6592307692307693</v>
      </c>
      <c r="F60" s="542">
        <f>MAX(F61:F88)</f>
        <v>5</v>
      </c>
      <c r="G60" s="542">
        <f>MIN(G61:G88)</f>
        <v>1</v>
      </c>
      <c r="H60" s="542">
        <f>AVERAGE(H61:H88)</f>
        <v>3.6592307692307693</v>
      </c>
      <c r="I60" s="315"/>
      <c r="J60" s="315"/>
      <c r="K60" s="315"/>
      <c r="L60" s="315"/>
      <c r="M60" s="315"/>
      <c r="N60" s="315"/>
      <c r="O60" s="315"/>
      <c r="P60" s="315"/>
    </row>
    <row r="61" spans="1:16" s="843" customFormat="1" ht="10.5" customHeight="1">
      <c r="A61" s="743" t="s">
        <v>1215</v>
      </c>
      <c r="B61" s="480"/>
      <c r="C61" s="483">
        <v>5</v>
      </c>
      <c r="D61" s="483">
        <v>1.25</v>
      </c>
      <c r="E61" s="483">
        <v>3.9</v>
      </c>
      <c r="F61" s="483">
        <v>5</v>
      </c>
      <c r="G61" s="483">
        <v>1.25</v>
      </c>
      <c r="H61" s="483">
        <v>3.9</v>
      </c>
      <c r="I61" s="315"/>
      <c r="J61" s="315"/>
      <c r="K61" s="315"/>
      <c r="L61" s="315"/>
      <c r="M61" s="315"/>
      <c r="N61" s="315"/>
      <c r="O61" s="315"/>
      <c r="P61" s="315"/>
    </row>
    <row r="62" spans="1:16" s="843" customFormat="1" ht="10.5" customHeight="1">
      <c r="A62" s="757" t="s">
        <v>2707</v>
      </c>
      <c r="B62" s="605"/>
      <c r="C62" s="531">
        <v>4.5</v>
      </c>
      <c r="D62" s="531">
        <v>1.5</v>
      </c>
      <c r="E62" s="531">
        <v>3.73</v>
      </c>
      <c r="F62" s="531">
        <v>4.5</v>
      </c>
      <c r="G62" s="531">
        <v>1.5</v>
      </c>
      <c r="H62" s="531">
        <v>3.73</v>
      </c>
      <c r="I62" s="315"/>
      <c r="J62" s="315"/>
      <c r="K62" s="315"/>
      <c r="L62" s="315"/>
      <c r="M62" s="315"/>
      <c r="N62" s="315"/>
      <c r="O62" s="315"/>
      <c r="P62" s="315"/>
    </row>
    <row r="63" spans="1:16" s="843" customFormat="1" ht="10.5" customHeight="1">
      <c r="A63" s="743" t="s">
        <v>1208</v>
      </c>
      <c r="B63" s="480"/>
      <c r="C63" s="483">
        <v>4.5</v>
      </c>
      <c r="D63" s="483">
        <v>1</v>
      </c>
      <c r="E63" s="483">
        <v>3.68</v>
      </c>
      <c r="F63" s="483">
        <v>4.5</v>
      </c>
      <c r="G63" s="483">
        <v>1</v>
      </c>
      <c r="H63" s="483">
        <v>3.68</v>
      </c>
      <c r="I63" s="315"/>
      <c r="J63" s="315"/>
      <c r="K63" s="315"/>
      <c r="L63" s="315"/>
      <c r="M63" s="315"/>
      <c r="N63" s="315"/>
      <c r="O63" s="315"/>
      <c r="P63" s="315"/>
    </row>
    <row r="64" spans="1:16" s="843" customFormat="1" ht="10.5" customHeight="1">
      <c r="A64" s="757" t="s">
        <v>1217</v>
      </c>
      <c r="B64" s="605"/>
      <c r="C64" s="531">
        <v>4.5</v>
      </c>
      <c r="D64" s="531">
        <v>1.5</v>
      </c>
      <c r="E64" s="531">
        <v>3.68</v>
      </c>
      <c r="F64" s="531">
        <v>4.5</v>
      </c>
      <c r="G64" s="531">
        <v>1.5</v>
      </c>
      <c r="H64" s="531">
        <v>3.68</v>
      </c>
      <c r="I64" s="315"/>
      <c r="J64" s="315"/>
      <c r="K64" s="315"/>
      <c r="L64" s="315"/>
      <c r="M64" s="315"/>
      <c r="N64" s="315"/>
      <c r="O64" s="315"/>
      <c r="P64" s="315"/>
    </row>
    <row r="65" spans="1:16" s="843" customFormat="1" ht="10.5" customHeight="1">
      <c r="A65" s="743" t="s">
        <v>1218</v>
      </c>
      <c r="B65" s="480"/>
      <c r="C65" s="483">
        <v>4.5</v>
      </c>
      <c r="D65" s="483">
        <v>1.1000000000000001</v>
      </c>
      <c r="E65" s="483">
        <v>3.67</v>
      </c>
      <c r="F65" s="483">
        <v>4.5</v>
      </c>
      <c r="G65" s="483">
        <v>1.1000000000000001</v>
      </c>
      <c r="H65" s="483">
        <v>3.67</v>
      </c>
      <c r="I65" s="315"/>
      <c r="J65" s="315"/>
      <c r="K65" s="315"/>
      <c r="L65" s="315"/>
      <c r="M65" s="315"/>
      <c r="N65" s="315"/>
      <c r="O65" s="315"/>
      <c r="P65" s="315"/>
    </row>
    <row r="66" spans="1:16" s="843" customFormat="1" ht="10.5" customHeight="1">
      <c r="A66" s="757" t="s">
        <v>1209</v>
      </c>
      <c r="B66" s="605"/>
      <c r="C66" s="531">
        <v>4.5</v>
      </c>
      <c r="D66" s="531">
        <v>1.1000000000000001</v>
      </c>
      <c r="E66" s="531">
        <v>3.7</v>
      </c>
      <c r="F66" s="531">
        <v>4.5</v>
      </c>
      <c r="G66" s="531">
        <v>1.1000000000000001</v>
      </c>
      <c r="H66" s="531">
        <v>3.7</v>
      </c>
      <c r="I66" s="315"/>
      <c r="J66" s="315"/>
      <c r="K66" s="315"/>
      <c r="L66" s="315"/>
      <c r="M66" s="315"/>
      <c r="N66" s="315"/>
      <c r="O66" s="315"/>
      <c r="P66" s="315"/>
    </row>
    <row r="67" spans="1:16" s="843" customFormat="1" ht="10.5" customHeight="1">
      <c r="A67" s="743" t="s">
        <v>1211</v>
      </c>
      <c r="B67" s="480"/>
      <c r="C67" s="483">
        <v>4.5</v>
      </c>
      <c r="D67" s="483">
        <v>1</v>
      </c>
      <c r="E67" s="483">
        <v>3.68</v>
      </c>
      <c r="F67" s="483">
        <v>4.5</v>
      </c>
      <c r="G67" s="483">
        <v>1</v>
      </c>
      <c r="H67" s="483">
        <v>3.68</v>
      </c>
      <c r="I67" s="315"/>
      <c r="J67" s="315"/>
      <c r="K67" s="315"/>
      <c r="L67" s="315"/>
      <c r="M67" s="315"/>
      <c r="N67" s="315"/>
      <c r="O67" s="315"/>
      <c r="P67" s="315"/>
    </row>
    <row r="68" spans="1:16" s="843" customFormat="1" ht="10.5" customHeight="1">
      <c r="A68" s="757" t="s">
        <v>1212</v>
      </c>
      <c r="B68" s="605"/>
      <c r="C68" s="531">
        <v>4.5</v>
      </c>
      <c r="D68" s="531">
        <v>1</v>
      </c>
      <c r="E68" s="531">
        <v>3.65</v>
      </c>
      <c r="F68" s="531">
        <v>4.5</v>
      </c>
      <c r="G68" s="531">
        <v>1</v>
      </c>
      <c r="H68" s="531">
        <v>3.65</v>
      </c>
      <c r="I68" s="315"/>
      <c r="J68" s="315"/>
      <c r="K68" s="315"/>
      <c r="L68" s="315"/>
      <c r="M68" s="315"/>
      <c r="N68" s="315"/>
      <c r="O68" s="315"/>
      <c r="P68" s="315"/>
    </row>
    <row r="69" spans="1:16" s="843" customFormat="1" ht="10.5" customHeight="1">
      <c r="A69" s="743" t="s">
        <v>1206</v>
      </c>
      <c r="B69" s="480"/>
      <c r="C69" s="483">
        <v>4.5</v>
      </c>
      <c r="D69" s="483">
        <v>1.5</v>
      </c>
      <c r="E69" s="483">
        <v>3.64</v>
      </c>
      <c r="F69" s="483">
        <v>4.5</v>
      </c>
      <c r="G69" s="483">
        <v>1.5</v>
      </c>
      <c r="H69" s="483">
        <v>3.64</v>
      </c>
      <c r="I69" s="315"/>
      <c r="J69" s="315"/>
      <c r="K69" s="315"/>
      <c r="L69" s="315"/>
      <c r="M69" s="315"/>
      <c r="N69" s="315"/>
      <c r="O69" s="315"/>
      <c r="P69" s="315"/>
    </row>
    <row r="70" spans="1:16" s="843" customFormat="1" ht="10.5" customHeight="1">
      <c r="A70" s="757" t="s">
        <v>1213</v>
      </c>
      <c r="B70" s="605"/>
      <c r="C70" s="531">
        <v>4.5</v>
      </c>
      <c r="D70" s="531">
        <v>2</v>
      </c>
      <c r="E70" s="531">
        <v>3.52</v>
      </c>
      <c r="F70" s="531">
        <v>4.5</v>
      </c>
      <c r="G70" s="531">
        <v>2</v>
      </c>
      <c r="H70" s="531">
        <v>3.52</v>
      </c>
      <c r="I70" s="315"/>
      <c r="J70" s="315"/>
      <c r="K70" s="315"/>
      <c r="L70" s="315"/>
      <c r="M70" s="315"/>
      <c r="N70" s="315"/>
      <c r="O70" s="315"/>
      <c r="P70" s="315"/>
    </row>
    <row r="71" spans="1:16" s="843" customFormat="1" ht="10.5" customHeight="1">
      <c r="A71" s="743" t="s">
        <v>1214</v>
      </c>
      <c r="B71" s="743"/>
      <c r="C71" s="483">
        <v>4.5</v>
      </c>
      <c r="D71" s="482">
        <v>2.25</v>
      </c>
      <c r="E71" s="482">
        <v>3.56</v>
      </c>
      <c r="F71" s="483">
        <v>4.5</v>
      </c>
      <c r="G71" s="482">
        <v>2.25</v>
      </c>
      <c r="H71" s="482">
        <v>3.56</v>
      </c>
      <c r="I71" s="315"/>
      <c r="J71" s="315"/>
      <c r="K71" s="315"/>
      <c r="L71" s="315"/>
      <c r="M71" s="315"/>
      <c r="N71" s="315"/>
      <c r="O71" s="315"/>
      <c r="P71" s="315"/>
    </row>
    <row r="72" spans="1:16" s="843" customFormat="1" ht="10.5" customHeight="1">
      <c r="A72" s="757" t="s">
        <v>1207</v>
      </c>
      <c r="B72" s="757"/>
      <c r="C72" s="531">
        <v>4.5</v>
      </c>
      <c r="D72" s="530">
        <v>2.25</v>
      </c>
      <c r="E72" s="530">
        <v>3.62</v>
      </c>
      <c r="F72" s="531">
        <v>4.5</v>
      </c>
      <c r="G72" s="530">
        <v>2.25</v>
      </c>
      <c r="H72" s="530">
        <v>3.62</v>
      </c>
      <c r="I72" s="315"/>
      <c r="J72" s="315"/>
      <c r="K72" s="315"/>
      <c r="L72" s="315"/>
      <c r="M72" s="315"/>
      <c r="N72" s="315"/>
      <c r="O72" s="315"/>
      <c r="P72" s="315"/>
    </row>
    <row r="73" spans="1:16" s="843" customFormat="1" ht="10.5" customHeight="1">
      <c r="A73" s="168">
        <v>2017</v>
      </c>
      <c r="B73" s="743"/>
      <c r="C73" s="483"/>
      <c r="D73" s="482"/>
      <c r="E73" s="482"/>
      <c r="F73" s="483"/>
      <c r="G73" s="482"/>
      <c r="H73" s="482"/>
      <c r="I73" s="315"/>
      <c r="J73" s="315"/>
      <c r="K73" s="315"/>
      <c r="L73" s="315"/>
      <c r="M73" s="315"/>
      <c r="N73" s="315"/>
      <c r="O73" s="315"/>
      <c r="P73" s="315"/>
    </row>
    <row r="74" spans="1:16" s="843" customFormat="1" ht="10.5" customHeight="1" thickBot="1">
      <c r="A74" s="1646" t="s">
        <v>1215</v>
      </c>
      <c r="B74" s="1646"/>
      <c r="C74" s="886">
        <v>4.5</v>
      </c>
      <c r="D74" s="1010">
        <v>2.25</v>
      </c>
      <c r="E74" s="1010">
        <v>3.54</v>
      </c>
      <c r="F74" s="886">
        <v>4.5</v>
      </c>
      <c r="G74" s="1010">
        <v>2.25</v>
      </c>
      <c r="H74" s="1010">
        <v>3.54</v>
      </c>
      <c r="I74" s="315"/>
      <c r="J74" s="315"/>
      <c r="K74" s="315"/>
      <c r="L74" s="315"/>
      <c r="M74" s="315"/>
      <c r="N74" s="315"/>
      <c r="O74" s="315"/>
      <c r="P74" s="315"/>
    </row>
    <row r="75" spans="1:16" s="11" customFormat="1">
      <c r="A75" s="203" t="s">
        <v>983</v>
      </c>
      <c r="B75" s="2130" t="s">
        <v>597</v>
      </c>
      <c r="C75" s="2130"/>
      <c r="D75" s="2130"/>
      <c r="E75" s="2130"/>
      <c r="F75" s="2130"/>
      <c r="G75" s="105"/>
    </row>
    <row r="78" spans="1:16">
      <c r="D78" s="135"/>
    </row>
  </sheetData>
  <mergeCells count="8">
    <mergeCell ref="B1:F1"/>
    <mergeCell ref="G1:H1"/>
    <mergeCell ref="A2:F2"/>
    <mergeCell ref="G2:H2"/>
    <mergeCell ref="B75:F75"/>
    <mergeCell ref="A3:A4"/>
    <mergeCell ref="C3:E3"/>
    <mergeCell ref="F3:H3"/>
  </mergeCells>
  <phoneticPr fontId="47" type="noConversion"/>
  <pageMargins left="0.62992125984252001" right="0.511811023622047" top="0.39370078740157499" bottom="0.118110236220472" header="0.25" footer="0"/>
  <pageSetup paperSize="512" firstPageNumber="78" orientation="portrait" useFirstPageNumber="1" r:id="rId1"/>
  <headerFooter alignWithMargins="0">
    <oddFooter>&amp;C&amp;"Times New Roman,Regular"&amp;8 78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B58"/>
  <sheetViews>
    <sheetView zoomScaleNormal="100" workbookViewId="0">
      <pane xSplit="1" ySplit="6" topLeftCell="B22" activePane="bottomRight" state="frozen"/>
      <selection pane="topRight" activeCell="B1" sqref="B1"/>
      <selection pane="bottomLeft" activeCell="A7" sqref="A7"/>
      <selection pane="bottomRight"/>
    </sheetView>
  </sheetViews>
  <sheetFormatPr defaultColWidth="9.140625" defaultRowHeight="11.25"/>
  <cols>
    <col min="1" max="1" width="9" style="11" customWidth="1"/>
    <col min="2" max="2" width="11" style="11" customWidth="1"/>
    <col min="3" max="3" width="11.85546875" style="11" customWidth="1"/>
    <col min="4" max="4" width="11.42578125" style="11" customWidth="1"/>
    <col min="5" max="5" width="10.42578125" style="11" customWidth="1"/>
    <col min="6" max="6" width="9" style="11" customWidth="1"/>
    <col min="7" max="7" width="11.28515625" style="11" customWidth="1"/>
    <col min="8" max="8" width="10.42578125" style="11" customWidth="1"/>
    <col min="9" max="9" width="11.140625" style="11" customWidth="1"/>
    <col min="10" max="10" width="10.42578125" style="11" customWidth="1"/>
    <col min="11" max="11" width="11" style="11" customWidth="1"/>
    <col min="12" max="12" width="10.7109375" style="11" customWidth="1"/>
    <col min="13" max="13" width="10.5703125" style="11" customWidth="1"/>
    <col min="14" max="14" width="10.7109375" style="11" customWidth="1"/>
    <col min="15" max="15" width="15.85546875" style="11" customWidth="1"/>
    <col min="16" max="16" width="15" style="11" customWidth="1"/>
    <col min="17" max="17" width="12.5703125" style="11" customWidth="1"/>
    <col min="18" max="18" width="13.28515625" style="11" customWidth="1"/>
    <col min="19" max="19" width="15.7109375" style="11" customWidth="1"/>
    <col min="20" max="20" width="7.5703125" style="11" customWidth="1"/>
    <col min="21" max="21" width="8.85546875" style="11" customWidth="1"/>
    <col min="22" max="22" width="11.7109375" style="11" customWidth="1"/>
    <col min="23" max="23" width="7.5703125" style="11" customWidth="1"/>
    <col min="24" max="24" width="8.42578125" style="11" customWidth="1"/>
    <col min="25" max="25" width="7.7109375" style="11" customWidth="1"/>
    <col min="26" max="26" width="9.42578125" style="11" customWidth="1"/>
    <col min="27" max="27" width="8.140625" style="11" customWidth="1"/>
    <col min="28" max="28" width="8.7109375" style="11" customWidth="1"/>
    <col min="29" max="16384" width="9.140625" style="11"/>
  </cols>
  <sheetData>
    <row r="1" spans="1:28" ht="16.5" customHeight="1"/>
    <row r="2" spans="1:28" s="661" customFormat="1" ht="27.75" customHeight="1">
      <c r="A2" s="2139" t="s">
        <v>2293</v>
      </c>
      <c r="B2" s="2139"/>
      <c r="C2" s="2139"/>
      <c r="D2" s="2139"/>
      <c r="E2" s="2139"/>
      <c r="F2" s="2140" t="s">
        <v>2456</v>
      </c>
      <c r="G2" s="2140"/>
      <c r="H2" s="689"/>
      <c r="I2" s="2140" t="s">
        <v>1839</v>
      </c>
      <c r="J2" s="2140"/>
      <c r="K2" s="2140"/>
      <c r="L2" s="2140"/>
      <c r="M2" s="2140"/>
      <c r="N2" s="2140"/>
      <c r="O2" s="2146" t="s">
        <v>1781</v>
      </c>
      <c r="P2" s="2146"/>
      <c r="Q2" s="2146"/>
      <c r="R2" s="2140" t="s">
        <v>2456</v>
      </c>
      <c r="S2" s="2140"/>
      <c r="T2" s="2139" t="s">
        <v>1780</v>
      </c>
      <c r="U2" s="2139"/>
      <c r="V2" s="2139"/>
      <c r="W2" s="2139"/>
      <c r="X2" s="2139"/>
      <c r="Y2" s="2139"/>
      <c r="Z2" s="2140" t="s">
        <v>2457</v>
      </c>
      <c r="AA2" s="2140"/>
      <c r="AB2" s="2140"/>
    </row>
    <row r="3" spans="1:28" s="66" customFormat="1" ht="21.75" customHeight="1">
      <c r="A3" s="2142" t="s">
        <v>1781</v>
      </c>
      <c r="B3" s="2142"/>
      <c r="C3" s="2142"/>
      <c r="D3" s="2142"/>
      <c r="E3" s="2142"/>
      <c r="F3" s="2136" t="s">
        <v>102</v>
      </c>
      <c r="G3" s="2136"/>
      <c r="H3" s="113"/>
      <c r="K3" s="110"/>
      <c r="L3" s="110"/>
      <c r="M3" s="1990"/>
      <c r="N3" s="1990"/>
      <c r="O3" s="207"/>
      <c r="P3" s="207"/>
      <c r="R3" s="1990" t="s">
        <v>102</v>
      </c>
      <c r="S3" s="1990"/>
      <c r="T3" s="2141" t="s">
        <v>2294</v>
      </c>
      <c r="U3" s="2141"/>
      <c r="V3" s="2141"/>
      <c r="W3" s="2141"/>
      <c r="X3" s="2141"/>
      <c r="Y3" s="2141"/>
      <c r="Z3" s="2141"/>
      <c r="AA3" s="1990" t="s">
        <v>102</v>
      </c>
      <c r="AB3" s="1990"/>
    </row>
    <row r="4" spans="1:28" s="246" customFormat="1" ht="16.5" customHeight="1">
      <c r="A4" s="2042" t="s">
        <v>1132</v>
      </c>
      <c r="B4" s="2147" t="s">
        <v>1779</v>
      </c>
      <c r="C4" s="2147"/>
      <c r="D4" s="2147"/>
      <c r="E4" s="2147"/>
      <c r="F4" s="2147"/>
      <c r="G4" s="2147"/>
      <c r="H4" s="1975" t="s">
        <v>1132</v>
      </c>
      <c r="I4" s="2049" t="s">
        <v>1853</v>
      </c>
      <c r="J4" s="2050"/>
      <c r="K4" s="2050"/>
      <c r="L4" s="2050"/>
      <c r="M4" s="2050"/>
      <c r="N4" s="2050"/>
      <c r="O4" s="2050"/>
      <c r="P4" s="2050"/>
      <c r="Q4" s="2050"/>
      <c r="R4" s="2051"/>
      <c r="S4" s="1975" t="s">
        <v>1132</v>
      </c>
      <c r="T4" s="2053" t="s">
        <v>1132</v>
      </c>
      <c r="U4" s="2049" t="s">
        <v>195</v>
      </c>
      <c r="V4" s="2050"/>
      <c r="W4" s="2050"/>
      <c r="X4" s="2051"/>
      <c r="Y4" s="2050" t="s">
        <v>196</v>
      </c>
      <c r="Z4" s="2050"/>
      <c r="AA4" s="2050"/>
      <c r="AB4" s="2051"/>
    </row>
    <row r="5" spans="1:28" s="209" customFormat="1" ht="12.75" customHeight="1">
      <c r="A5" s="1976"/>
      <c r="B5" s="2148" t="s">
        <v>1782</v>
      </c>
      <c r="C5" s="2148"/>
      <c r="D5" s="2148"/>
      <c r="E5" s="2148"/>
      <c r="F5" s="1978" t="s">
        <v>1838</v>
      </c>
      <c r="G5" s="1978"/>
      <c r="H5" s="1976"/>
      <c r="I5" s="2143" t="s">
        <v>1838</v>
      </c>
      <c r="J5" s="2144"/>
      <c r="K5" s="2148" t="s">
        <v>389</v>
      </c>
      <c r="L5" s="2148"/>
      <c r="M5" s="2148"/>
      <c r="N5" s="2148"/>
      <c r="O5" s="2143" t="s">
        <v>1128</v>
      </c>
      <c r="P5" s="2144"/>
      <c r="Q5" s="2144"/>
      <c r="R5" s="2145"/>
      <c r="S5" s="1976"/>
      <c r="T5" s="2053"/>
      <c r="U5" s="1996" t="s">
        <v>1704</v>
      </c>
      <c r="V5" s="1996" t="s">
        <v>2651</v>
      </c>
      <c r="W5" s="1996" t="s">
        <v>1669</v>
      </c>
      <c r="X5" s="1996" t="s">
        <v>197</v>
      </c>
      <c r="Y5" s="1996" t="s">
        <v>1705</v>
      </c>
      <c r="Z5" s="1948" t="s">
        <v>194</v>
      </c>
      <c r="AA5" s="1996" t="s">
        <v>51</v>
      </c>
      <c r="AB5" s="1958" t="s">
        <v>1671</v>
      </c>
    </row>
    <row r="6" spans="1:28" s="127" customFormat="1" ht="25.5" customHeight="1">
      <c r="A6" s="1977"/>
      <c r="B6" s="29" t="s">
        <v>193</v>
      </c>
      <c r="C6" s="29" t="s">
        <v>194</v>
      </c>
      <c r="D6" s="29" t="s">
        <v>51</v>
      </c>
      <c r="E6" s="29" t="s">
        <v>1666</v>
      </c>
      <c r="F6" s="29" t="s">
        <v>193</v>
      </c>
      <c r="G6" s="29" t="s">
        <v>194</v>
      </c>
      <c r="H6" s="1977"/>
      <c r="I6" s="29" t="s">
        <v>1703</v>
      </c>
      <c r="J6" s="29" t="s">
        <v>1667</v>
      </c>
      <c r="K6" s="29" t="s">
        <v>1670</v>
      </c>
      <c r="L6" s="29" t="s">
        <v>194</v>
      </c>
      <c r="M6" s="29" t="s">
        <v>51</v>
      </c>
      <c r="N6" s="29" t="s">
        <v>1702</v>
      </c>
      <c r="O6" s="29" t="s">
        <v>1783</v>
      </c>
      <c r="P6" s="29" t="s">
        <v>194</v>
      </c>
      <c r="Q6" s="29" t="s">
        <v>1668</v>
      </c>
      <c r="R6" s="29" t="s">
        <v>1854</v>
      </c>
      <c r="S6" s="1977"/>
      <c r="T6" s="2053"/>
      <c r="U6" s="1996"/>
      <c r="V6" s="1996"/>
      <c r="W6" s="1996"/>
      <c r="X6" s="1996"/>
      <c r="Y6" s="1996"/>
      <c r="Z6" s="2008"/>
      <c r="AA6" s="1996"/>
      <c r="AB6" s="1958"/>
    </row>
    <row r="7" spans="1:28" s="93" customFormat="1" ht="17.100000000000001" customHeight="1">
      <c r="A7" s="245">
        <v>1993</v>
      </c>
      <c r="B7" s="247">
        <v>1738.3</v>
      </c>
      <c r="C7" s="247">
        <v>1769.7</v>
      </c>
      <c r="D7" s="247">
        <v>-31.9</v>
      </c>
      <c r="E7" s="245">
        <v>64492</v>
      </c>
      <c r="F7" s="247">
        <v>195.1</v>
      </c>
      <c r="G7" s="247">
        <v>91.85</v>
      </c>
      <c r="H7" s="245">
        <v>1993</v>
      </c>
      <c r="I7" s="247">
        <v>54.36</v>
      </c>
      <c r="J7" s="245">
        <v>826</v>
      </c>
      <c r="K7" s="247">
        <v>835.92</v>
      </c>
      <c r="L7" s="247">
        <v>813.51</v>
      </c>
      <c r="M7" s="247">
        <v>3.23</v>
      </c>
      <c r="N7" s="245">
        <v>18276</v>
      </c>
      <c r="O7" s="247">
        <v>2769.32</v>
      </c>
      <c r="P7" s="247">
        <v>2675.06</v>
      </c>
      <c r="Q7" s="247">
        <v>25.69</v>
      </c>
      <c r="R7" s="245">
        <v>83594</v>
      </c>
      <c r="S7" s="245">
        <v>1993</v>
      </c>
      <c r="T7" s="126" t="s">
        <v>1194</v>
      </c>
      <c r="U7" s="247">
        <v>665.13</v>
      </c>
      <c r="V7" s="247">
        <v>188.71</v>
      </c>
      <c r="W7" s="247">
        <v>476.42</v>
      </c>
      <c r="X7" s="245">
        <v>6435</v>
      </c>
      <c r="Y7" s="247">
        <v>186.68</v>
      </c>
      <c r="Z7" s="247">
        <v>511.26</v>
      </c>
      <c r="AA7" s="247">
        <v>-330.69</v>
      </c>
      <c r="AB7" s="245">
        <v>16871</v>
      </c>
    </row>
    <row r="8" spans="1:28" s="93" customFormat="1" ht="17.100000000000001" customHeight="1">
      <c r="A8" s="628">
        <v>1994</v>
      </c>
      <c r="B8" s="629">
        <v>1702.56</v>
      </c>
      <c r="C8" s="629">
        <v>1683.24</v>
      </c>
      <c r="D8" s="629">
        <v>18.82</v>
      </c>
      <c r="E8" s="628">
        <v>63804</v>
      </c>
      <c r="F8" s="629">
        <v>242.36</v>
      </c>
      <c r="G8" s="629">
        <v>105.74</v>
      </c>
      <c r="H8" s="628">
        <v>1994</v>
      </c>
      <c r="I8" s="629">
        <v>68.319999999999993</v>
      </c>
      <c r="J8" s="628">
        <v>888</v>
      </c>
      <c r="K8" s="629">
        <v>851.89</v>
      </c>
      <c r="L8" s="629">
        <v>801.25</v>
      </c>
      <c r="M8" s="629">
        <v>14.8</v>
      </c>
      <c r="N8" s="628">
        <v>18794</v>
      </c>
      <c r="O8" s="629">
        <v>2796.81</v>
      </c>
      <c r="P8" s="629">
        <v>2590.23</v>
      </c>
      <c r="Q8" s="629">
        <v>101.94</v>
      </c>
      <c r="R8" s="628">
        <v>83486</v>
      </c>
      <c r="S8" s="628">
        <v>1994</v>
      </c>
      <c r="T8" s="630" t="s">
        <v>1195</v>
      </c>
      <c r="U8" s="629">
        <v>838.06</v>
      </c>
      <c r="V8" s="629">
        <v>239.33</v>
      </c>
      <c r="W8" s="629">
        <v>598.73</v>
      </c>
      <c r="X8" s="628">
        <v>6345</v>
      </c>
      <c r="Y8" s="629">
        <v>310.63</v>
      </c>
      <c r="Z8" s="629">
        <v>617.73</v>
      </c>
      <c r="AA8" s="629">
        <v>-307.10000000000002</v>
      </c>
      <c r="AB8" s="628">
        <v>16856</v>
      </c>
    </row>
    <row r="9" spans="1:28" s="93" customFormat="1" ht="17.100000000000001" customHeight="1">
      <c r="A9" s="245">
        <v>1995</v>
      </c>
      <c r="B9" s="247">
        <v>1982.08</v>
      </c>
      <c r="C9" s="247">
        <v>1869.11</v>
      </c>
      <c r="D9" s="247">
        <v>112.37</v>
      </c>
      <c r="E9" s="245">
        <v>63803</v>
      </c>
      <c r="F9" s="247">
        <v>335.65</v>
      </c>
      <c r="G9" s="247">
        <v>151.38999999999999</v>
      </c>
      <c r="H9" s="245">
        <v>1995</v>
      </c>
      <c r="I9" s="247">
        <v>90.76</v>
      </c>
      <c r="J9" s="245">
        <v>966</v>
      </c>
      <c r="K9" s="247">
        <v>943.89</v>
      </c>
      <c r="L9" s="247">
        <v>831.99</v>
      </c>
      <c r="M9" s="247">
        <v>56.56</v>
      </c>
      <c r="N9" s="245">
        <v>20083</v>
      </c>
      <c r="O9" s="247">
        <v>3261.62</v>
      </c>
      <c r="P9" s="247">
        <v>2964.39</v>
      </c>
      <c r="Q9" s="247">
        <v>259.69</v>
      </c>
      <c r="R9" s="245">
        <v>84852</v>
      </c>
      <c r="S9" s="245">
        <v>1995</v>
      </c>
      <c r="T9" s="126" t="s">
        <v>1196</v>
      </c>
      <c r="U9" s="247">
        <v>840.64</v>
      </c>
      <c r="V9" s="247">
        <v>310.44</v>
      </c>
      <c r="W9" s="247">
        <v>530.20000000000005</v>
      </c>
      <c r="X9" s="245">
        <v>6281</v>
      </c>
      <c r="Y9" s="247">
        <v>235.97</v>
      </c>
      <c r="Z9" s="247">
        <v>528.04</v>
      </c>
      <c r="AA9" s="247">
        <v>-292.07</v>
      </c>
      <c r="AB9" s="245">
        <v>16459</v>
      </c>
    </row>
    <row r="10" spans="1:28" s="93" customFormat="1" ht="17.100000000000001" customHeight="1">
      <c r="A10" s="628">
        <v>1996</v>
      </c>
      <c r="B10" s="629">
        <v>2249.11</v>
      </c>
      <c r="C10" s="629">
        <v>2220.5</v>
      </c>
      <c r="D10" s="629">
        <v>28.11</v>
      </c>
      <c r="E10" s="628">
        <v>63731</v>
      </c>
      <c r="F10" s="629">
        <v>408.46</v>
      </c>
      <c r="G10" s="629">
        <v>221.73</v>
      </c>
      <c r="H10" s="628">
        <v>1996</v>
      </c>
      <c r="I10" s="629">
        <v>98.72</v>
      </c>
      <c r="J10" s="628">
        <v>1016</v>
      </c>
      <c r="K10" s="629">
        <v>1132.23</v>
      </c>
      <c r="L10" s="629">
        <v>939.75</v>
      </c>
      <c r="M10" s="629">
        <v>131.49</v>
      </c>
      <c r="N10" s="628">
        <v>21140</v>
      </c>
      <c r="O10" s="629">
        <v>3789.8</v>
      </c>
      <c r="P10" s="629">
        <v>3381.98</v>
      </c>
      <c r="Q10" s="629">
        <v>258.32</v>
      </c>
      <c r="R10" s="628">
        <v>85887</v>
      </c>
      <c r="S10" s="628">
        <v>1996</v>
      </c>
      <c r="T10" s="630" t="s">
        <v>1197</v>
      </c>
      <c r="U10" s="629">
        <v>936.03</v>
      </c>
      <c r="V10" s="629">
        <v>301.69</v>
      </c>
      <c r="W10" s="629">
        <v>634.34</v>
      </c>
      <c r="X10" s="628">
        <v>6215</v>
      </c>
      <c r="Y10" s="629">
        <v>410.88</v>
      </c>
      <c r="Z10" s="629">
        <v>615.38</v>
      </c>
      <c r="AA10" s="629">
        <v>-204.5</v>
      </c>
      <c r="AB10" s="628">
        <v>16273</v>
      </c>
    </row>
    <row r="11" spans="1:28" s="93" customFormat="1" ht="17.100000000000001" customHeight="1">
      <c r="A11" s="245">
        <v>1997</v>
      </c>
      <c r="B11" s="247">
        <v>2574.08</v>
      </c>
      <c r="C11" s="247">
        <v>2556.81</v>
      </c>
      <c r="D11" s="247">
        <v>16.77</v>
      </c>
      <c r="E11" s="245">
        <v>62723</v>
      </c>
      <c r="F11" s="247">
        <v>564.1</v>
      </c>
      <c r="G11" s="247">
        <v>335.64</v>
      </c>
      <c r="H11" s="245">
        <v>1997</v>
      </c>
      <c r="I11" s="247">
        <v>134.21</v>
      </c>
      <c r="J11" s="245">
        <v>1125</v>
      </c>
      <c r="K11" s="247">
        <v>1414.22</v>
      </c>
      <c r="L11" s="247">
        <v>1180.04</v>
      </c>
      <c r="M11" s="247">
        <v>144.47999999999999</v>
      </c>
      <c r="N11" s="245">
        <v>22194</v>
      </c>
      <c r="O11" s="247">
        <v>4552.3999999999996</v>
      </c>
      <c r="P11" s="247">
        <v>4072.49</v>
      </c>
      <c r="Q11" s="247">
        <v>295.45999999999998</v>
      </c>
      <c r="R11" s="245">
        <v>86042</v>
      </c>
      <c r="S11" s="245">
        <v>1997</v>
      </c>
      <c r="T11" s="126" t="s">
        <v>1198</v>
      </c>
      <c r="U11" s="247">
        <v>1059.3900000000001</v>
      </c>
      <c r="V11" s="247">
        <v>288.75</v>
      </c>
      <c r="W11" s="247">
        <v>770.64</v>
      </c>
      <c r="X11" s="245">
        <v>6129</v>
      </c>
      <c r="Y11" s="247">
        <v>440.48</v>
      </c>
      <c r="Z11" s="247">
        <v>701.5</v>
      </c>
      <c r="AA11" s="247">
        <v>-261.02</v>
      </c>
      <c r="AB11" s="245">
        <v>16342</v>
      </c>
    </row>
    <row r="12" spans="1:28" s="93" customFormat="1" ht="17.100000000000001" customHeight="1">
      <c r="A12" s="628">
        <v>1998</v>
      </c>
      <c r="B12" s="629">
        <v>2815.17</v>
      </c>
      <c r="C12" s="629">
        <v>2808.69</v>
      </c>
      <c r="D12" s="629">
        <v>-5.98</v>
      </c>
      <c r="E12" s="628">
        <v>63583</v>
      </c>
      <c r="F12" s="629">
        <v>585.59</v>
      </c>
      <c r="G12" s="629">
        <v>326.62</v>
      </c>
      <c r="H12" s="628">
        <v>1998</v>
      </c>
      <c r="I12" s="629">
        <v>149.43</v>
      </c>
      <c r="J12" s="628">
        <v>1262</v>
      </c>
      <c r="K12" s="629">
        <v>1696.46</v>
      </c>
      <c r="L12" s="629">
        <v>1457.83</v>
      </c>
      <c r="M12" s="629">
        <v>158.35</v>
      </c>
      <c r="N12" s="628">
        <v>22893</v>
      </c>
      <c r="O12" s="629">
        <v>5097.22</v>
      </c>
      <c r="P12" s="629">
        <v>4593.1400000000003</v>
      </c>
      <c r="Q12" s="629">
        <v>301.8</v>
      </c>
      <c r="R12" s="628">
        <v>87738</v>
      </c>
      <c r="S12" s="628">
        <v>1998</v>
      </c>
      <c r="T12" s="630" t="s">
        <v>1199</v>
      </c>
      <c r="U12" s="629">
        <v>1171.56</v>
      </c>
      <c r="V12" s="629">
        <v>384.7</v>
      </c>
      <c r="W12" s="629">
        <v>786.86</v>
      </c>
      <c r="X12" s="628">
        <v>6178</v>
      </c>
      <c r="Y12" s="629">
        <v>492.91</v>
      </c>
      <c r="Z12" s="629">
        <v>766.77</v>
      </c>
      <c r="AA12" s="629">
        <v>-296.7</v>
      </c>
      <c r="AB12" s="628">
        <v>16114</v>
      </c>
    </row>
    <row r="13" spans="1:28" s="93" customFormat="1" ht="17.100000000000001" customHeight="1">
      <c r="A13" s="245">
        <v>1999</v>
      </c>
      <c r="B13" s="247">
        <v>3161.26</v>
      </c>
      <c r="C13" s="247">
        <v>3164.79</v>
      </c>
      <c r="D13" s="247">
        <v>-16.66</v>
      </c>
      <c r="E13" s="245">
        <v>62419</v>
      </c>
      <c r="F13" s="247">
        <v>713.65</v>
      </c>
      <c r="G13" s="247">
        <v>447.39</v>
      </c>
      <c r="H13" s="245">
        <v>1999</v>
      </c>
      <c r="I13" s="247">
        <v>149.69999999999999</v>
      </c>
      <c r="J13" s="245">
        <v>1311</v>
      </c>
      <c r="K13" s="247">
        <v>2094.5100000000002</v>
      </c>
      <c r="L13" s="247">
        <v>1760.92</v>
      </c>
      <c r="M13" s="247">
        <v>178.44</v>
      </c>
      <c r="N13" s="245">
        <v>24281</v>
      </c>
      <c r="O13" s="247">
        <v>5969.42</v>
      </c>
      <c r="P13" s="247">
        <v>5373.1</v>
      </c>
      <c r="Q13" s="247">
        <v>311.48</v>
      </c>
      <c r="R13" s="245">
        <v>88011</v>
      </c>
      <c r="S13" s="245">
        <v>1999</v>
      </c>
      <c r="T13" s="126" t="s">
        <v>1200</v>
      </c>
      <c r="U13" s="247">
        <v>1159.3499999999999</v>
      </c>
      <c r="V13" s="247">
        <v>363.37</v>
      </c>
      <c r="W13" s="247">
        <v>795.98</v>
      </c>
      <c r="X13" s="245">
        <v>6061</v>
      </c>
      <c r="Y13" s="247">
        <v>598.45000000000005</v>
      </c>
      <c r="Z13" s="247">
        <v>766</v>
      </c>
      <c r="AA13" s="247">
        <v>-532.37</v>
      </c>
      <c r="AB13" s="245">
        <v>16036</v>
      </c>
    </row>
    <row r="14" spans="1:28" s="93" customFormat="1" ht="17.100000000000001" customHeight="1">
      <c r="A14" s="628">
        <v>2000</v>
      </c>
      <c r="B14" s="629">
        <v>3726.27</v>
      </c>
      <c r="C14" s="629">
        <v>3532.16</v>
      </c>
      <c r="D14" s="629">
        <v>24.58</v>
      </c>
      <c r="E14" s="628">
        <v>62091</v>
      </c>
      <c r="F14" s="629">
        <v>967.5</v>
      </c>
      <c r="G14" s="629">
        <v>548.08000000000004</v>
      </c>
      <c r="H14" s="628">
        <v>2000</v>
      </c>
      <c r="I14" s="629">
        <v>220.46</v>
      </c>
      <c r="J14" s="628">
        <v>1280</v>
      </c>
      <c r="K14" s="629">
        <v>3267.62</v>
      </c>
      <c r="L14" s="629">
        <v>2462.09</v>
      </c>
      <c r="M14" s="629">
        <v>309.97000000000003</v>
      </c>
      <c r="N14" s="628">
        <v>25975</v>
      </c>
      <c r="O14" s="629">
        <v>7961.39</v>
      </c>
      <c r="P14" s="629">
        <v>6542.33</v>
      </c>
      <c r="Q14" s="629">
        <v>555.01</v>
      </c>
      <c r="R14" s="628">
        <v>89346</v>
      </c>
      <c r="S14" s="628">
        <v>2000</v>
      </c>
      <c r="T14" s="630" t="s">
        <v>1201</v>
      </c>
      <c r="U14" s="629">
        <v>1172.58</v>
      </c>
      <c r="V14" s="629">
        <v>456.64</v>
      </c>
      <c r="W14" s="629">
        <v>715.95</v>
      </c>
      <c r="X14" s="628">
        <v>5926</v>
      </c>
      <c r="Y14" s="629">
        <v>820.34</v>
      </c>
      <c r="Z14" s="629">
        <v>736.36</v>
      </c>
      <c r="AA14" s="629">
        <v>79.81</v>
      </c>
      <c r="AB14" s="628">
        <v>16164</v>
      </c>
    </row>
    <row r="15" spans="1:28" s="93" customFormat="1" ht="17.100000000000001" customHeight="1">
      <c r="A15" s="245">
        <v>2001</v>
      </c>
      <c r="B15" s="247">
        <v>3878.16</v>
      </c>
      <c r="C15" s="247">
        <v>3735.96</v>
      </c>
      <c r="D15" s="247">
        <v>38.24</v>
      </c>
      <c r="E15" s="245">
        <v>61325</v>
      </c>
      <c r="F15" s="247">
        <v>1068.9100000000001</v>
      </c>
      <c r="G15" s="247">
        <v>588.16999999999996</v>
      </c>
      <c r="H15" s="245">
        <v>2001</v>
      </c>
      <c r="I15" s="247">
        <v>259.81</v>
      </c>
      <c r="J15" s="245">
        <v>1588</v>
      </c>
      <c r="K15" s="247">
        <v>4321</v>
      </c>
      <c r="L15" s="247">
        <v>3126</v>
      </c>
      <c r="M15" s="247">
        <v>514.48</v>
      </c>
      <c r="N15" s="245">
        <v>28068</v>
      </c>
      <c r="O15" s="247">
        <v>9268.07</v>
      </c>
      <c r="P15" s="247">
        <v>7450.13</v>
      </c>
      <c r="Q15" s="247">
        <v>812.53</v>
      </c>
      <c r="R15" s="245">
        <v>90981</v>
      </c>
      <c r="S15" s="245">
        <v>2001</v>
      </c>
      <c r="T15" s="126" t="s">
        <v>1202</v>
      </c>
      <c r="U15" s="247">
        <v>1133.1500000000001</v>
      </c>
      <c r="V15" s="247">
        <v>183.34</v>
      </c>
      <c r="W15" s="247">
        <v>949.41</v>
      </c>
      <c r="X15" s="245">
        <v>5769</v>
      </c>
      <c r="Y15" s="247">
        <v>636.39</v>
      </c>
      <c r="Z15" s="247">
        <v>748.34</v>
      </c>
      <c r="AA15" s="247">
        <v>-114.64</v>
      </c>
      <c r="AB15" s="245">
        <v>16475</v>
      </c>
    </row>
    <row r="16" spans="1:28" s="93" customFormat="1" ht="17.100000000000001" customHeight="1">
      <c r="A16" s="628">
        <v>2002</v>
      </c>
      <c r="B16" s="629">
        <v>3665.52</v>
      </c>
      <c r="C16" s="629">
        <v>3420.35</v>
      </c>
      <c r="D16" s="629">
        <v>19.88</v>
      </c>
      <c r="E16" s="628">
        <v>60169</v>
      </c>
      <c r="F16" s="629">
        <v>1061.9000000000001</v>
      </c>
      <c r="G16" s="629">
        <v>570.79</v>
      </c>
      <c r="H16" s="628">
        <v>2002</v>
      </c>
      <c r="I16" s="629">
        <v>224.08</v>
      </c>
      <c r="J16" s="628">
        <v>1305</v>
      </c>
      <c r="K16" s="629">
        <v>5021.55</v>
      </c>
      <c r="L16" s="629">
        <v>3930.87</v>
      </c>
      <c r="M16" s="629">
        <v>458.79</v>
      </c>
      <c r="N16" s="628">
        <v>28336</v>
      </c>
      <c r="O16" s="629">
        <v>9748.9699999999993</v>
      </c>
      <c r="P16" s="629">
        <v>7922.01</v>
      </c>
      <c r="Q16" s="629">
        <v>702.75</v>
      </c>
      <c r="R16" s="628">
        <v>89810</v>
      </c>
      <c r="S16" s="628">
        <v>2002</v>
      </c>
      <c r="T16" s="630" t="s">
        <v>1203</v>
      </c>
      <c r="U16" s="629">
        <v>1725.62</v>
      </c>
      <c r="V16" s="629">
        <v>365.57</v>
      </c>
      <c r="W16" s="629">
        <v>760.05</v>
      </c>
      <c r="X16" s="628">
        <v>5576</v>
      </c>
      <c r="Y16" s="629">
        <v>738.53</v>
      </c>
      <c r="Z16" s="629">
        <v>768.85</v>
      </c>
      <c r="AA16" s="629">
        <v>-24.32</v>
      </c>
      <c r="AB16" s="628">
        <v>15837</v>
      </c>
    </row>
    <row r="17" spans="1:28" s="93" customFormat="1" ht="17.100000000000001" customHeight="1">
      <c r="A17" s="245">
        <v>2003</v>
      </c>
      <c r="B17" s="247">
        <v>4165.22</v>
      </c>
      <c r="C17" s="247">
        <v>3860.79</v>
      </c>
      <c r="D17" s="247">
        <v>68.209999999999994</v>
      </c>
      <c r="E17" s="245">
        <v>58629</v>
      </c>
      <c r="F17" s="247">
        <v>772.93</v>
      </c>
      <c r="G17" s="247">
        <v>252.27</v>
      </c>
      <c r="H17" s="245">
        <v>2003</v>
      </c>
      <c r="I17" s="247">
        <v>276.44</v>
      </c>
      <c r="J17" s="245">
        <v>1409</v>
      </c>
      <c r="K17" s="247">
        <v>5921.25</v>
      </c>
      <c r="L17" s="247">
        <v>4543.82</v>
      </c>
      <c r="M17" s="247">
        <v>475.59</v>
      </c>
      <c r="N17" s="245">
        <v>32576</v>
      </c>
      <c r="O17" s="247">
        <v>10859.4</v>
      </c>
      <c r="P17" s="247">
        <v>8656.8799999999992</v>
      </c>
      <c r="Q17" s="247">
        <v>820.24</v>
      </c>
      <c r="R17" s="245">
        <v>92614</v>
      </c>
      <c r="S17" s="245">
        <v>2003</v>
      </c>
      <c r="T17" s="126" t="s">
        <v>1204</v>
      </c>
      <c r="U17" s="247">
        <v>2100.69</v>
      </c>
      <c r="V17" s="247">
        <v>1161.21</v>
      </c>
      <c r="W17" s="247">
        <v>939.48</v>
      </c>
      <c r="X17" s="245">
        <v>5461</v>
      </c>
      <c r="Y17" s="247">
        <v>693.26</v>
      </c>
      <c r="Z17" s="247">
        <v>773.15</v>
      </c>
      <c r="AA17" s="247">
        <v>-87.89</v>
      </c>
      <c r="AB17" s="245">
        <v>15300</v>
      </c>
    </row>
    <row r="18" spans="1:28" s="93" customFormat="1" ht="17.100000000000001" customHeight="1">
      <c r="A18" s="628">
        <v>2004</v>
      </c>
      <c r="B18" s="629">
        <v>4008.46</v>
      </c>
      <c r="C18" s="629">
        <v>3693.77</v>
      </c>
      <c r="D18" s="629">
        <v>-1904.72</v>
      </c>
      <c r="E18" s="628">
        <v>57588</v>
      </c>
      <c r="F18" s="629">
        <v>1294.25</v>
      </c>
      <c r="G18" s="629">
        <v>640.37</v>
      </c>
      <c r="H18" s="628">
        <v>2004</v>
      </c>
      <c r="I18" s="629">
        <v>392.01</v>
      </c>
      <c r="J18" s="628">
        <v>1394</v>
      </c>
      <c r="K18" s="629">
        <v>7305.97</v>
      </c>
      <c r="L18" s="629">
        <v>5293.89</v>
      </c>
      <c r="M18" s="629">
        <v>736.49</v>
      </c>
      <c r="N18" s="628">
        <v>34786</v>
      </c>
      <c r="O18" s="629">
        <v>12608.68</v>
      </c>
      <c r="P18" s="629">
        <v>9628.0300000000007</v>
      </c>
      <c r="Q18" s="629">
        <v>-776.22</v>
      </c>
      <c r="R18" s="628">
        <v>93768</v>
      </c>
      <c r="S18" s="628">
        <v>2004</v>
      </c>
      <c r="T18" s="630" t="s">
        <v>1205</v>
      </c>
      <c r="U18" s="629">
        <v>2415.7800000000002</v>
      </c>
      <c r="V18" s="629">
        <v>523.91</v>
      </c>
      <c r="W18" s="629">
        <v>1891.87</v>
      </c>
      <c r="X18" s="628">
        <v>5596</v>
      </c>
      <c r="Y18" s="629">
        <v>646.38</v>
      </c>
      <c r="Z18" s="629">
        <v>854.92</v>
      </c>
      <c r="AA18" s="629">
        <v>-240.68</v>
      </c>
      <c r="AB18" s="628">
        <v>14350</v>
      </c>
    </row>
    <row r="19" spans="1:28" s="93" customFormat="1" ht="17.100000000000001" customHeight="1">
      <c r="A19" s="245">
        <v>2005</v>
      </c>
      <c r="B19" s="247">
        <v>4836.34</v>
      </c>
      <c r="C19" s="247">
        <v>3814.7</v>
      </c>
      <c r="D19" s="247">
        <v>-1209.4100000000001</v>
      </c>
      <c r="E19" s="245">
        <v>56417</v>
      </c>
      <c r="F19" s="247">
        <v>1367.59</v>
      </c>
      <c r="G19" s="247">
        <v>529.5</v>
      </c>
      <c r="H19" s="245">
        <v>2005</v>
      </c>
      <c r="I19" s="247">
        <v>470.18</v>
      </c>
      <c r="J19" s="245">
        <v>1713</v>
      </c>
      <c r="K19" s="247">
        <v>9140.17</v>
      </c>
      <c r="L19" s="247">
        <v>6599.97</v>
      </c>
      <c r="M19" s="247">
        <v>954.71</v>
      </c>
      <c r="N19" s="245">
        <v>36715</v>
      </c>
      <c r="O19" s="247">
        <v>15344.1</v>
      </c>
      <c r="P19" s="247">
        <v>10944.17</v>
      </c>
      <c r="Q19" s="247">
        <v>215.48</v>
      </c>
      <c r="R19" s="245">
        <v>94845</v>
      </c>
      <c r="S19" s="245">
        <v>2005</v>
      </c>
      <c r="T19" s="126" t="s">
        <v>1210</v>
      </c>
      <c r="U19" s="247">
        <v>3621.5</v>
      </c>
      <c r="V19" s="247">
        <v>1217.48</v>
      </c>
      <c r="W19" s="247">
        <f>U19-V19</f>
        <v>2404.02</v>
      </c>
      <c r="X19" s="245">
        <v>5481</v>
      </c>
      <c r="Y19" s="247">
        <v>1026.0899999999999</v>
      </c>
      <c r="Z19" s="247">
        <v>1088.9000000000001</v>
      </c>
      <c r="AA19" s="247">
        <v>-123</v>
      </c>
      <c r="AB19" s="245">
        <v>15406</v>
      </c>
    </row>
    <row r="20" spans="1:28" s="93" customFormat="1" ht="17.100000000000001" customHeight="1">
      <c r="A20" s="628">
        <v>2006</v>
      </c>
      <c r="B20" s="628">
        <v>5657.36</v>
      </c>
      <c r="C20" s="628">
        <v>4551.7700000000004</v>
      </c>
      <c r="D20" s="628">
        <v>-4415.92</v>
      </c>
      <c r="E20" s="628">
        <v>54591</v>
      </c>
      <c r="F20" s="629">
        <v>2372</v>
      </c>
      <c r="G20" s="628">
        <v>988.01</v>
      </c>
      <c r="H20" s="628">
        <v>2006</v>
      </c>
      <c r="I20" s="628">
        <v>624.12</v>
      </c>
      <c r="J20" s="628">
        <v>2384</v>
      </c>
      <c r="K20" s="628">
        <v>12757.48</v>
      </c>
      <c r="L20" s="628">
        <v>9400.6200000000008</v>
      </c>
      <c r="M20" s="628">
        <v>931.54</v>
      </c>
      <c r="N20" s="628">
        <v>42512</v>
      </c>
      <c r="O20" s="628">
        <v>20786.84</v>
      </c>
      <c r="P20" s="629">
        <v>14940.4</v>
      </c>
      <c r="Q20" s="628">
        <v>-2860.26</v>
      </c>
      <c r="R20" s="628">
        <v>99487</v>
      </c>
      <c r="S20" s="628">
        <v>2006</v>
      </c>
      <c r="T20" s="631" t="s">
        <v>1219</v>
      </c>
      <c r="U20" s="632">
        <v>4279.41</v>
      </c>
      <c r="V20" s="632">
        <v>818.83</v>
      </c>
      <c r="W20" s="632">
        <v>3460.58</v>
      </c>
      <c r="X20" s="632">
        <v>5402</v>
      </c>
      <c r="Y20" s="633">
        <v>1234.32</v>
      </c>
      <c r="Z20" s="632">
        <v>1251.53</v>
      </c>
      <c r="AA20" s="633">
        <v>-143.62</v>
      </c>
      <c r="AB20" s="632">
        <v>15515</v>
      </c>
    </row>
    <row r="21" spans="1:28" s="93" customFormat="1" ht="17.100000000000001" customHeight="1">
      <c r="A21" s="245">
        <v>2007</v>
      </c>
      <c r="B21" s="245">
        <v>4713.37</v>
      </c>
      <c r="C21" s="245">
        <v>3243.54</v>
      </c>
      <c r="D21" s="247">
        <v>-809.1</v>
      </c>
      <c r="E21" s="245">
        <v>52177</v>
      </c>
      <c r="F21" s="247">
        <v>2656.66</v>
      </c>
      <c r="G21" s="245">
        <v>1266.5899999999999</v>
      </c>
      <c r="H21" s="245">
        <v>2007</v>
      </c>
      <c r="I21" s="245">
        <v>723.33</v>
      </c>
      <c r="J21" s="245">
        <v>2388</v>
      </c>
      <c r="K21" s="245">
        <v>16256.55</v>
      </c>
      <c r="L21" s="245">
        <v>11380.48</v>
      </c>
      <c r="M21" s="245">
        <v>1995.75</v>
      </c>
      <c r="N21" s="245">
        <v>45074</v>
      </c>
      <c r="O21" s="247">
        <v>23392.9</v>
      </c>
      <c r="P21" s="247">
        <v>15872.78</v>
      </c>
      <c r="Q21" s="245">
        <v>1909.98</v>
      </c>
      <c r="R21" s="245">
        <v>99639</v>
      </c>
      <c r="S21" s="245">
        <v>2007</v>
      </c>
      <c r="T21" s="93" t="s">
        <v>916</v>
      </c>
      <c r="U21" s="249">
        <v>4062.03</v>
      </c>
      <c r="V21" s="248">
        <v>909.2</v>
      </c>
      <c r="W21" s="249">
        <v>3152.83</v>
      </c>
      <c r="X21" s="249">
        <f>4031+1273</f>
        <v>5304</v>
      </c>
      <c r="Y21" s="249">
        <v>1472.26</v>
      </c>
      <c r="Z21" s="249">
        <v>1497.07</v>
      </c>
      <c r="AA21" s="249">
        <v>-167.17</v>
      </c>
      <c r="AB21" s="249">
        <v>15400</v>
      </c>
    </row>
    <row r="22" spans="1:28" s="249" customFormat="1" ht="17.100000000000001" customHeight="1">
      <c r="A22" s="628">
        <v>2008</v>
      </c>
      <c r="B22" s="628">
        <v>6750.95</v>
      </c>
      <c r="C22" s="628">
        <v>5227.88</v>
      </c>
      <c r="D22" s="628">
        <v>897.68</v>
      </c>
      <c r="E22" s="628">
        <v>53786</v>
      </c>
      <c r="F22" s="629">
        <v>3235.57</v>
      </c>
      <c r="G22" s="629">
        <v>1620.56</v>
      </c>
      <c r="H22" s="628">
        <v>2008</v>
      </c>
      <c r="I22" s="634">
        <v>1138.42</v>
      </c>
      <c r="J22" s="635">
        <v>2384</v>
      </c>
      <c r="K22" s="629">
        <v>21172.7</v>
      </c>
      <c r="L22" s="629">
        <v>14757.53</v>
      </c>
      <c r="M22" s="634">
        <v>2818.66</v>
      </c>
      <c r="N22" s="635">
        <v>46308</v>
      </c>
      <c r="O22" s="629">
        <v>31159.22</v>
      </c>
      <c r="P22" s="629">
        <v>21605.97</v>
      </c>
      <c r="Q22" s="629">
        <v>4854.76</v>
      </c>
      <c r="R22" s="635">
        <v>102478</v>
      </c>
      <c r="S22" s="628">
        <v>2008</v>
      </c>
      <c r="T22" s="631" t="s">
        <v>230</v>
      </c>
      <c r="U22" s="632">
        <v>3088.43</v>
      </c>
      <c r="V22" s="632">
        <v>582.63</v>
      </c>
      <c r="W22" s="633">
        <v>2505.8000000000002</v>
      </c>
      <c r="X22" s="632">
        <v>5259</v>
      </c>
      <c r="Y22" s="633">
        <v>1944.9</v>
      </c>
      <c r="Z22" s="632">
        <v>1685.01</v>
      </c>
      <c r="AA22" s="632">
        <v>40.159999999999997</v>
      </c>
      <c r="AB22" s="632">
        <v>15388</v>
      </c>
    </row>
    <row r="23" spans="1:28" s="249" customFormat="1" ht="17.100000000000001" customHeight="1">
      <c r="A23" s="245">
        <v>2009</v>
      </c>
      <c r="B23" s="245">
        <v>8026.68</v>
      </c>
      <c r="C23" s="245">
        <v>6083.51</v>
      </c>
      <c r="D23" s="245">
        <v>931.35</v>
      </c>
      <c r="E23" s="245">
        <v>50600</v>
      </c>
      <c r="F23" s="247">
        <v>2610.9499999999998</v>
      </c>
      <c r="G23" s="247">
        <v>1401.57</v>
      </c>
      <c r="H23" s="245">
        <v>2009</v>
      </c>
      <c r="I23" s="247">
        <v>708.78</v>
      </c>
      <c r="J23" s="266">
        <v>2760</v>
      </c>
      <c r="K23" s="247">
        <v>26262.19</v>
      </c>
      <c r="L23" s="247">
        <v>17911.02</v>
      </c>
      <c r="M23" s="247">
        <v>3947.72</v>
      </c>
      <c r="N23" s="266">
        <v>59874</v>
      </c>
      <c r="O23" s="247">
        <f t="shared" ref="O23:P25" si="0">B23+F23+K23</f>
        <v>36899.82</v>
      </c>
      <c r="P23" s="247">
        <f t="shared" si="0"/>
        <v>25396.1</v>
      </c>
      <c r="Q23" s="247">
        <f t="shared" ref="Q23:R25" si="1">D23+I23+M23</f>
        <v>5587.85</v>
      </c>
      <c r="R23" s="266">
        <f t="shared" si="1"/>
        <v>113234</v>
      </c>
      <c r="S23" s="245">
        <v>2009</v>
      </c>
      <c r="T23" s="93" t="s">
        <v>220</v>
      </c>
      <c r="U23" s="249">
        <v>1926.92</v>
      </c>
      <c r="V23" s="248">
        <v>639.1</v>
      </c>
      <c r="W23" s="248">
        <v>1287.82</v>
      </c>
      <c r="X23" s="249">
        <f>3914+1157</f>
        <v>5071</v>
      </c>
      <c r="Y23" s="249">
        <v>2327.42</v>
      </c>
      <c r="Z23" s="249">
        <v>2053.65</v>
      </c>
      <c r="AA23" s="249">
        <v>105.76</v>
      </c>
      <c r="AB23" s="249">
        <v>15293</v>
      </c>
    </row>
    <row r="24" spans="1:28" s="249" customFormat="1" ht="17.100000000000001" customHeight="1">
      <c r="A24" s="628">
        <v>2010</v>
      </c>
      <c r="B24" s="628">
        <v>10260.459999999999</v>
      </c>
      <c r="C24" s="628">
        <v>7163.33</v>
      </c>
      <c r="D24" s="628">
        <v>1176.26</v>
      </c>
      <c r="E24" s="628">
        <v>50069</v>
      </c>
      <c r="F24" s="629">
        <v>2632.77</v>
      </c>
      <c r="G24" s="629">
        <v>1338.96</v>
      </c>
      <c r="H24" s="628">
        <v>2010</v>
      </c>
      <c r="I24" s="629">
        <v>645.62</v>
      </c>
      <c r="J24" s="635">
        <v>3143</v>
      </c>
      <c r="K24" s="629">
        <v>32873.14</v>
      </c>
      <c r="L24" s="629">
        <v>20435.560000000001</v>
      </c>
      <c r="M24" s="629">
        <v>6032.03</v>
      </c>
      <c r="N24" s="635">
        <v>68720</v>
      </c>
      <c r="O24" s="629">
        <f t="shared" si="0"/>
        <v>45766.369999999995</v>
      </c>
      <c r="P24" s="629">
        <f t="shared" si="0"/>
        <v>28937.850000000002</v>
      </c>
      <c r="Q24" s="629">
        <f t="shared" si="1"/>
        <v>7853.91</v>
      </c>
      <c r="R24" s="635">
        <f t="shared" si="1"/>
        <v>121932</v>
      </c>
      <c r="S24" s="628">
        <v>2010</v>
      </c>
      <c r="T24" s="631" t="s">
        <v>489</v>
      </c>
      <c r="U24" s="632">
        <v>9862.5400000000009</v>
      </c>
      <c r="V24" s="633">
        <v>1019.94</v>
      </c>
      <c r="W24" s="632">
        <v>8842.59</v>
      </c>
      <c r="X24" s="632">
        <f>3848+1030</f>
        <v>4878</v>
      </c>
      <c r="Y24" s="633">
        <v>2610.5</v>
      </c>
      <c r="Z24" s="633">
        <v>2494.17</v>
      </c>
      <c r="AA24" s="632">
        <v>-58.41</v>
      </c>
      <c r="AB24" s="632">
        <v>14367</v>
      </c>
    </row>
    <row r="25" spans="1:28" s="703" customFormat="1" ht="17.100000000000001" customHeight="1">
      <c r="A25" s="936">
        <v>2011</v>
      </c>
      <c r="B25" s="937">
        <v>13224.12</v>
      </c>
      <c r="C25" s="937">
        <v>8569.5</v>
      </c>
      <c r="D25" s="936">
        <v>1799.33</v>
      </c>
      <c r="E25" s="936">
        <v>54025</v>
      </c>
      <c r="F25" s="937">
        <v>4378.41</v>
      </c>
      <c r="G25" s="937">
        <v>1925.6</v>
      </c>
      <c r="H25" s="936">
        <v>2011</v>
      </c>
      <c r="I25" s="937">
        <v>781.04</v>
      </c>
      <c r="J25" s="938">
        <v>3137</v>
      </c>
      <c r="K25" s="937">
        <v>41050.18</v>
      </c>
      <c r="L25" s="937">
        <v>29079.7</v>
      </c>
      <c r="M25" s="937">
        <v>6999.28</v>
      </c>
      <c r="N25" s="938">
        <v>75649</v>
      </c>
      <c r="O25" s="937">
        <f t="shared" si="0"/>
        <v>58652.71</v>
      </c>
      <c r="P25" s="937">
        <f t="shared" si="0"/>
        <v>39574.800000000003</v>
      </c>
      <c r="Q25" s="247">
        <f t="shared" si="1"/>
        <v>9579.65</v>
      </c>
      <c r="R25" s="266">
        <f t="shared" si="1"/>
        <v>132811</v>
      </c>
      <c r="S25" s="936">
        <v>2011</v>
      </c>
      <c r="T25" s="325" t="s">
        <v>2359</v>
      </c>
      <c r="U25" s="703">
        <v>8522.74</v>
      </c>
      <c r="V25" s="742">
        <v>1490.9978000000001</v>
      </c>
      <c r="W25" s="703">
        <v>7031.75</v>
      </c>
      <c r="X25" s="703">
        <v>4958</v>
      </c>
      <c r="Y25" s="742">
        <v>1818.91</v>
      </c>
      <c r="Z25" s="742">
        <v>1996.95</v>
      </c>
      <c r="AA25" s="742">
        <v>-208.04</v>
      </c>
      <c r="AB25" s="703">
        <v>13879</v>
      </c>
    </row>
    <row r="26" spans="1:28" s="703" customFormat="1" ht="17.100000000000001" customHeight="1">
      <c r="A26" s="628">
        <v>2012</v>
      </c>
      <c r="B26" s="629">
        <v>15725.253306500001</v>
      </c>
      <c r="C26" s="629">
        <v>11794.0446276</v>
      </c>
      <c r="D26" s="629">
        <v>-6522.876828200001</v>
      </c>
      <c r="E26" s="628">
        <v>57989</v>
      </c>
      <c r="F26" s="629">
        <v>5603.3493125000005</v>
      </c>
      <c r="G26" s="629">
        <v>2796.43</v>
      </c>
      <c r="H26" s="628">
        <v>2012</v>
      </c>
      <c r="I26" s="629">
        <v>1465.1193717000001</v>
      </c>
      <c r="J26" s="635">
        <v>3140</v>
      </c>
      <c r="K26" s="629">
        <v>52221.363523699983</v>
      </c>
      <c r="L26" s="629">
        <v>38973.794740899997</v>
      </c>
      <c r="M26" s="629">
        <v>3962.6805902000001</v>
      </c>
      <c r="N26" s="635">
        <v>81944</v>
      </c>
      <c r="O26" s="629">
        <f t="shared" ref="O26:P29" si="2">B26+F26+K26</f>
        <v>73549.966142699981</v>
      </c>
      <c r="P26" s="629">
        <f t="shared" si="2"/>
        <v>53564.269368499998</v>
      </c>
      <c r="Q26" s="629">
        <f t="shared" ref="Q26:R29" si="3">D26+I26+M26</f>
        <v>-1095.0768663000013</v>
      </c>
      <c r="R26" s="635">
        <f t="shared" si="3"/>
        <v>143073</v>
      </c>
      <c r="S26" s="628">
        <v>2012</v>
      </c>
      <c r="T26" s="1098" t="s">
        <v>2418</v>
      </c>
      <c r="U26" s="632" t="s">
        <v>836</v>
      </c>
      <c r="V26" s="633" t="s">
        <v>836</v>
      </c>
      <c r="W26" s="632" t="s">
        <v>836</v>
      </c>
      <c r="X26" s="632" t="s">
        <v>836</v>
      </c>
      <c r="Y26" s="632">
        <f>252.03+1340.23</f>
        <v>1592.26</v>
      </c>
      <c r="Z26" s="632">
        <f>149.23+1079.22</f>
        <v>1228.45</v>
      </c>
      <c r="AA26" s="632">
        <f>83.7+2.79</f>
        <v>86.490000000000009</v>
      </c>
      <c r="AB26" s="632">
        <f>857+1657</f>
        <v>2514</v>
      </c>
    </row>
    <row r="27" spans="1:28" s="703" customFormat="1" ht="17.100000000000001" customHeight="1">
      <c r="A27" s="936">
        <v>2013</v>
      </c>
      <c r="B27" s="937">
        <v>16728.024012099999</v>
      </c>
      <c r="C27" s="937">
        <v>13949.002911900001</v>
      </c>
      <c r="D27" s="937">
        <v>2258.4407385999998</v>
      </c>
      <c r="E27" s="936">
        <v>58049</v>
      </c>
      <c r="F27" s="937">
        <v>5985.9425159000011</v>
      </c>
      <c r="G27" s="937">
        <v>3007.3867308999997</v>
      </c>
      <c r="H27" s="936">
        <v>2013</v>
      </c>
      <c r="I27" s="937">
        <v>1464.6336643</v>
      </c>
      <c r="J27" s="938">
        <v>3330</v>
      </c>
      <c r="K27" s="937">
        <v>57658.748551799996</v>
      </c>
      <c r="L27" s="937">
        <v>44904.274183500005</v>
      </c>
      <c r="M27" s="937">
        <v>4644.2722049999993</v>
      </c>
      <c r="N27" s="938">
        <v>85888</v>
      </c>
      <c r="O27" s="937">
        <f t="shared" si="2"/>
        <v>80372.715079799993</v>
      </c>
      <c r="P27" s="937">
        <f t="shared" si="2"/>
        <v>61860.663826300006</v>
      </c>
      <c r="Q27" s="937">
        <f t="shared" si="3"/>
        <v>8367.3466078999991</v>
      </c>
      <c r="R27" s="938">
        <f t="shared" si="3"/>
        <v>147267</v>
      </c>
      <c r="S27" s="936">
        <v>2013</v>
      </c>
      <c r="T27" s="1097" t="s">
        <v>1809</v>
      </c>
      <c r="U27" s="703">
        <v>1685.34</v>
      </c>
      <c r="V27" s="742">
        <v>1380.9365</v>
      </c>
      <c r="W27" s="703">
        <v>304.41000000000003</v>
      </c>
      <c r="X27" s="703">
        <v>5239</v>
      </c>
      <c r="Y27" s="742">
        <v>1794.8927682999999</v>
      </c>
      <c r="Z27" s="742">
        <v>2210.8702908</v>
      </c>
      <c r="AA27" s="742">
        <v>-448.5010825</v>
      </c>
      <c r="AB27" s="703">
        <v>15034</v>
      </c>
    </row>
    <row r="28" spans="1:28" s="703" customFormat="1" ht="17.100000000000001" customHeight="1">
      <c r="A28" s="628">
        <v>2014</v>
      </c>
      <c r="B28" s="629">
        <v>18486.490000000002</v>
      </c>
      <c r="C28" s="629">
        <v>15256.82</v>
      </c>
      <c r="D28" s="629">
        <v>1227.44</v>
      </c>
      <c r="E28" s="628">
        <v>56187</v>
      </c>
      <c r="F28" s="629">
        <v>5906.7</v>
      </c>
      <c r="G28" s="629">
        <v>2721.73</v>
      </c>
      <c r="H28" s="628">
        <v>2014</v>
      </c>
      <c r="I28" s="629">
        <v>1706.03</v>
      </c>
      <c r="J28" s="635">
        <v>3880</v>
      </c>
      <c r="K28" s="629">
        <v>61356.65</v>
      </c>
      <c r="L28" s="629">
        <v>46637.05</v>
      </c>
      <c r="M28" s="629">
        <v>5511.02</v>
      </c>
      <c r="N28" s="635">
        <v>93624</v>
      </c>
      <c r="O28" s="629">
        <f t="shared" si="2"/>
        <v>85749.84</v>
      </c>
      <c r="P28" s="629">
        <f t="shared" si="2"/>
        <v>64615.600000000006</v>
      </c>
      <c r="Q28" s="629">
        <f t="shared" si="3"/>
        <v>8444.4900000000016</v>
      </c>
      <c r="R28" s="635">
        <f t="shared" si="3"/>
        <v>153691</v>
      </c>
      <c r="S28" s="628">
        <v>2014</v>
      </c>
      <c r="T28" s="1098">
        <v>2013</v>
      </c>
      <c r="U28" s="632" t="s">
        <v>836</v>
      </c>
      <c r="V28" s="633" t="s">
        <v>836</v>
      </c>
      <c r="W28" s="632" t="s">
        <v>836</v>
      </c>
      <c r="X28" s="632" t="s">
        <v>836</v>
      </c>
      <c r="Y28" s="633">
        <v>2163.7902678</v>
      </c>
      <c r="Z28" s="633">
        <v>1791.2615637000001</v>
      </c>
      <c r="AA28" s="633">
        <v>48.857708699999996</v>
      </c>
      <c r="AB28" s="632">
        <v>2971</v>
      </c>
    </row>
    <row r="29" spans="1:28" s="703" customFormat="1" ht="18" customHeight="1" thickBot="1">
      <c r="A29" s="1477">
        <v>2015</v>
      </c>
      <c r="B29" s="1467">
        <v>20782.27</v>
      </c>
      <c r="C29" s="1467">
        <v>17852.88</v>
      </c>
      <c r="D29" s="1468">
        <v>365.93</v>
      </c>
      <c r="E29" s="1469">
        <v>58286</v>
      </c>
      <c r="F29" s="1470">
        <v>5407.47</v>
      </c>
      <c r="G29" s="1470">
        <v>2514.02</v>
      </c>
      <c r="H29" s="1477">
        <v>2015</v>
      </c>
      <c r="I29" s="1470">
        <v>1695.81</v>
      </c>
      <c r="J29" s="1471">
        <v>3876</v>
      </c>
      <c r="K29" s="1470">
        <v>64033.43</v>
      </c>
      <c r="L29" s="1470">
        <v>48463.98</v>
      </c>
      <c r="M29" s="1470">
        <v>6145.79</v>
      </c>
      <c r="N29" s="1471">
        <v>92742</v>
      </c>
      <c r="O29" s="1472">
        <f t="shared" si="2"/>
        <v>90223.17</v>
      </c>
      <c r="P29" s="1472">
        <f t="shared" si="2"/>
        <v>68830.880000000005</v>
      </c>
      <c r="Q29" s="1472">
        <f t="shared" si="3"/>
        <v>8207.5299999999988</v>
      </c>
      <c r="R29" s="1473">
        <f t="shared" si="3"/>
        <v>154904</v>
      </c>
      <c r="S29" s="1477">
        <v>2015</v>
      </c>
      <c r="T29" s="325" t="s">
        <v>2226</v>
      </c>
      <c r="U29" s="703">
        <v>5040.63</v>
      </c>
      <c r="V29" s="742">
        <v>1688.81</v>
      </c>
      <c r="W29" s="703">
        <v>3351.83</v>
      </c>
      <c r="X29" s="703">
        <v>5470</v>
      </c>
      <c r="Y29" s="742">
        <v>2035.3</v>
      </c>
      <c r="Z29" s="703">
        <v>2539.12</v>
      </c>
      <c r="AA29" s="703">
        <v>-3504.21</v>
      </c>
      <c r="AB29" s="703">
        <v>14237</v>
      </c>
    </row>
    <row r="30" spans="1:28" ht="15" customHeight="1">
      <c r="A30" s="1099" t="s">
        <v>978</v>
      </c>
      <c r="B30" s="1100" t="s">
        <v>516</v>
      </c>
      <c r="C30" s="37"/>
      <c r="D30" s="937"/>
      <c r="E30" s="936"/>
      <c r="F30" s="937"/>
      <c r="G30" s="937"/>
      <c r="H30" s="936"/>
      <c r="I30" s="937"/>
      <c r="J30" s="938"/>
      <c r="K30" s="937"/>
      <c r="L30" s="937"/>
      <c r="M30" s="937"/>
      <c r="N30" s="938"/>
      <c r="O30" s="937"/>
      <c r="P30" s="937"/>
      <c r="Q30" s="937"/>
      <c r="R30" s="938"/>
      <c r="S30" s="936"/>
      <c r="T30" s="1098">
        <v>2014</v>
      </c>
      <c r="U30" s="632" t="s">
        <v>836</v>
      </c>
      <c r="V30" s="633" t="s">
        <v>836</v>
      </c>
      <c r="W30" s="632" t="s">
        <v>836</v>
      </c>
      <c r="X30" s="632" t="s">
        <v>836</v>
      </c>
      <c r="Y30" s="632">
        <v>1988.85</v>
      </c>
      <c r="Z30" s="632">
        <v>1951.38</v>
      </c>
      <c r="AA30" s="632">
        <v>2.91</v>
      </c>
      <c r="AB30" s="632">
        <v>3115</v>
      </c>
    </row>
    <row r="31" spans="1:28" ht="15" customHeight="1">
      <c r="A31" s="203"/>
      <c r="B31" s="2149" t="s">
        <v>2817</v>
      </c>
      <c r="C31" s="2149"/>
      <c r="D31" s="2149"/>
      <c r="E31" s="2149"/>
      <c r="F31" s="2149"/>
      <c r="G31" s="2149"/>
      <c r="H31" s="2149"/>
      <c r="I31" s="2149"/>
      <c r="J31" s="2149"/>
      <c r="K31" s="110"/>
      <c r="L31" s="110"/>
      <c r="M31" s="110"/>
      <c r="N31" s="110"/>
      <c r="O31" s="110"/>
      <c r="P31" s="110"/>
      <c r="Q31" s="110"/>
      <c r="R31" s="110"/>
      <c r="S31" s="110"/>
      <c r="T31" s="325" t="s">
        <v>2376</v>
      </c>
      <c r="U31" s="703">
        <v>2807.48</v>
      </c>
      <c r="V31" s="742">
        <v>5430.4471999999996</v>
      </c>
      <c r="W31" s="742">
        <v>-2622.97</v>
      </c>
      <c r="X31" s="703">
        <v>6067</v>
      </c>
      <c r="Y31" s="703">
        <v>2105.12</v>
      </c>
      <c r="Z31" s="703">
        <v>2551.56</v>
      </c>
      <c r="AA31" s="742">
        <v>-247.5</v>
      </c>
      <c r="AB31" s="703">
        <v>14094</v>
      </c>
    </row>
    <row r="32" spans="1:28" ht="15" customHeight="1" thickBot="1">
      <c r="A32" s="203"/>
      <c r="B32" s="1466"/>
      <c r="C32" s="1466"/>
      <c r="D32" s="1466"/>
      <c r="E32" s="1466"/>
      <c r="F32" s="1466"/>
      <c r="G32" s="1466"/>
      <c r="H32" s="1466"/>
      <c r="I32" s="1466"/>
      <c r="J32" s="1466"/>
      <c r="K32" s="110"/>
      <c r="L32" s="110"/>
      <c r="M32" s="110"/>
      <c r="N32" s="110"/>
      <c r="O32" s="110"/>
      <c r="P32" s="110"/>
      <c r="Q32" s="110"/>
      <c r="R32" s="110"/>
      <c r="S32" s="110"/>
      <c r="T32" s="1476" t="s">
        <v>2608</v>
      </c>
      <c r="U32" s="1474">
        <v>3502.18</v>
      </c>
      <c r="V32" s="1475">
        <v>3349.1619999999998</v>
      </c>
      <c r="W32" s="1475">
        <v>153.02000000000001</v>
      </c>
      <c r="X32" s="1474">
        <v>5726</v>
      </c>
      <c r="Y32" s="1474" t="s">
        <v>836</v>
      </c>
      <c r="Z32" s="1475" t="s">
        <v>836</v>
      </c>
      <c r="AA32" s="1474" t="s">
        <v>836</v>
      </c>
      <c r="AB32" s="1474" t="s">
        <v>836</v>
      </c>
    </row>
    <row r="33" spans="1:28" ht="19.5" customHeight="1">
      <c r="B33" s="375"/>
      <c r="C33" s="375"/>
      <c r="D33" s="6"/>
      <c r="K33" s="201"/>
      <c r="L33" s="201"/>
      <c r="M33" s="201"/>
      <c r="N33" s="201"/>
      <c r="O33" s="201"/>
      <c r="P33" s="201"/>
      <c r="Q33" s="201"/>
      <c r="R33" s="201"/>
      <c r="S33" s="201"/>
      <c r="T33" s="2151" t="s">
        <v>2416</v>
      </c>
      <c r="U33" s="2151"/>
      <c r="V33" s="2151"/>
      <c r="W33" s="2151"/>
      <c r="X33" s="2151"/>
      <c r="Y33" s="2151"/>
      <c r="Z33" s="2151"/>
      <c r="AA33" s="2151"/>
      <c r="AB33" s="2151"/>
    </row>
    <row r="34" spans="1:28" ht="19.5" customHeight="1">
      <c r="A34" s="205"/>
      <c r="B34" s="205"/>
      <c r="K34" s="208"/>
      <c r="L34" s="208"/>
      <c r="M34" s="208"/>
      <c r="N34" s="208"/>
      <c r="O34" s="208"/>
      <c r="P34" s="208"/>
      <c r="Q34" s="208"/>
      <c r="R34" s="208"/>
      <c r="S34" s="208"/>
      <c r="T34" s="2150" t="s">
        <v>2650</v>
      </c>
      <c r="U34" s="2150"/>
      <c r="V34" s="2150"/>
      <c r="W34" s="2150"/>
      <c r="X34" s="2150"/>
      <c r="Y34" s="2150"/>
      <c r="Z34" s="2150"/>
      <c r="AA34" s="2150"/>
      <c r="AB34" s="2150"/>
    </row>
    <row r="35" spans="1:28" ht="11.25" customHeight="1">
      <c r="A35" s="205"/>
      <c r="B35" s="205"/>
      <c r="K35" s="208"/>
      <c r="L35" s="208"/>
      <c r="M35" s="208"/>
      <c r="N35" s="208"/>
      <c r="O35" s="208"/>
      <c r="P35" s="208"/>
      <c r="Q35" s="208"/>
      <c r="R35" s="208"/>
      <c r="S35" s="208"/>
      <c r="T35" s="2150" t="s">
        <v>2850</v>
      </c>
      <c r="U35" s="2150"/>
      <c r="V35" s="2150"/>
      <c r="W35" s="2150"/>
      <c r="X35" s="2150"/>
      <c r="Y35" s="2150"/>
      <c r="Z35" s="2150"/>
      <c r="AA35" s="2150"/>
      <c r="AB35" s="2150"/>
    </row>
    <row r="36" spans="1:28">
      <c r="I36" s="315"/>
      <c r="K36" s="110"/>
      <c r="T36" s="2016" t="s">
        <v>2417</v>
      </c>
      <c r="U36" s="2016"/>
      <c r="V36" s="2016"/>
      <c r="W36" s="2016"/>
      <c r="X36" s="2016"/>
      <c r="Y36" s="2016"/>
    </row>
    <row r="37" spans="1:28">
      <c r="I37" s="315"/>
      <c r="K37" s="110"/>
    </row>
    <row r="38" spans="1:28">
      <c r="I38" s="315"/>
      <c r="K38" s="110"/>
    </row>
    <row r="39" spans="1:28">
      <c r="K39" s="110"/>
    </row>
    <row r="40" spans="1:28">
      <c r="K40" s="110"/>
    </row>
    <row r="41" spans="1:28">
      <c r="K41" s="110"/>
      <c r="W41" s="307"/>
    </row>
    <row r="42" spans="1:28">
      <c r="K42" s="110"/>
    </row>
    <row r="43" spans="1:28">
      <c r="K43" s="110"/>
    </row>
    <row r="44" spans="1:28">
      <c r="K44" s="110"/>
    </row>
    <row r="45" spans="1:28">
      <c r="K45" s="110"/>
    </row>
    <row r="46" spans="1:28">
      <c r="K46" s="110"/>
    </row>
    <row r="47" spans="1:28">
      <c r="K47" s="110"/>
    </row>
    <row r="48" spans="1:28">
      <c r="K48" s="110"/>
    </row>
    <row r="49" spans="1:19">
      <c r="K49" s="110"/>
    </row>
    <row r="50" spans="1:19">
      <c r="K50" s="110"/>
    </row>
    <row r="51" spans="1:19">
      <c r="K51" s="110"/>
    </row>
    <row r="52" spans="1:19">
      <c r="K52" s="110"/>
    </row>
    <row r="53" spans="1:19">
      <c r="K53" s="110"/>
    </row>
    <row r="54" spans="1:19">
      <c r="K54" s="110"/>
    </row>
    <row r="55" spans="1:19" ht="11.25" customHeight="1">
      <c r="K55" s="110"/>
    </row>
    <row r="56" spans="1:19">
      <c r="K56" s="110"/>
    </row>
    <row r="57" spans="1:19">
      <c r="A57" s="110"/>
      <c r="B57" s="110"/>
      <c r="C57" s="110"/>
      <c r="D57" s="110"/>
      <c r="E57" s="110"/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</row>
    <row r="58" spans="1:19">
      <c r="A58" s="110"/>
      <c r="B58" s="110"/>
      <c r="C58" s="110"/>
      <c r="D58" s="110"/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</row>
  </sheetData>
  <mergeCells count="39">
    <mergeCell ref="T36:Y36"/>
    <mergeCell ref="H4:H6"/>
    <mergeCell ref="S4:S6"/>
    <mergeCell ref="K5:N5"/>
    <mergeCell ref="Y4:AB4"/>
    <mergeCell ref="I4:R4"/>
    <mergeCell ref="B31:J31"/>
    <mergeCell ref="T35:AB35"/>
    <mergeCell ref="T33:AB33"/>
    <mergeCell ref="T34:AB34"/>
    <mergeCell ref="A2:E2"/>
    <mergeCell ref="A3:E3"/>
    <mergeCell ref="F2:G2"/>
    <mergeCell ref="I5:J5"/>
    <mergeCell ref="O5:R5"/>
    <mergeCell ref="I2:N2"/>
    <mergeCell ref="M3:N3"/>
    <mergeCell ref="F5:G5"/>
    <mergeCell ref="R2:S2"/>
    <mergeCell ref="O2:Q2"/>
    <mergeCell ref="R3:S3"/>
    <mergeCell ref="F3:G3"/>
    <mergeCell ref="A4:A6"/>
    <mergeCell ref="B4:G4"/>
    <mergeCell ref="B5:E5"/>
    <mergeCell ref="T2:Y2"/>
    <mergeCell ref="Z2:AB2"/>
    <mergeCell ref="U5:U6"/>
    <mergeCell ref="W5:W6"/>
    <mergeCell ref="AA5:AA6"/>
    <mergeCell ref="AB5:AB6"/>
    <mergeCell ref="X5:X6"/>
    <mergeCell ref="V5:V6"/>
    <mergeCell ref="T4:T6"/>
    <mergeCell ref="U4:X4"/>
    <mergeCell ref="AA3:AB3"/>
    <mergeCell ref="Y5:Y6"/>
    <mergeCell ref="Z5:Z6"/>
    <mergeCell ref="T3:Z3"/>
  </mergeCells>
  <phoneticPr fontId="0" type="noConversion"/>
  <pageMargins left="0.62992125984252001" right="0.59055118110236204" top="0.511811023622047" bottom="0.511811023622047" header="0" footer="0.74803149606299202"/>
  <pageSetup paperSize="512" firstPageNumber="79" orientation="portrait" useFirstPageNumber="1" r:id="rId1"/>
  <headerFooter alignWithMargins="0">
    <oddFooter>&amp;C&amp;"Times New Roman,Regular"&amp;8&amp;P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J132"/>
  <sheetViews>
    <sheetView zoomScale="130" zoomScaleNormal="13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76" sqref="C76"/>
    </sheetView>
  </sheetViews>
  <sheetFormatPr defaultColWidth="9.140625" defaultRowHeight="11.25"/>
  <cols>
    <col min="1" max="1" width="11" style="8" customWidth="1"/>
    <col min="2" max="2" width="2.7109375" style="53" customWidth="1"/>
    <col min="3" max="3" width="17.42578125" style="53" customWidth="1"/>
    <col min="4" max="4" width="3.5703125" style="53" customWidth="1"/>
    <col min="5" max="5" width="16.7109375" style="53" customWidth="1"/>
    <col min="6" max="6" width="5.7109375" style="53" bestFit="1" customWidth="1"/>
    <col min="7" max="7" width="20.85546875" style="53" customWidth="1"/>
    <col min="8" max="8" width="12.42578125" style="53" customWidth="1"/>
    <col min="9" max="9" width="10" style="53" bestFit="1" customWidth="1"/>
    <col min="10" max="13" width="9.140625" style="53"/>
    <col min="14" max="14" width="11.28515625" style="53" customWidth="1"/>
    <col min="15" max="15" width="8.7109375" style="53" customWidth="1"/>
    <col min="16" max="18" width="9.140625" style="53"/>
    <col min="19" max="19" width="11.85546875" style="53" customWidth="1"/>
    <col min="20" max="16384" width="9.140625" style="53"/>
  </cols>
  <sheetData>
    <row r="1" spans="1:10" s="210" customFormat="1" ht="47.25" customHeight="1">
      <c r="A1" s="2152" t="s">
        <v>902</v>
      </c>
      <c r="B1" s="2152"/>
      <c r="C1" s="2152"/>
      <c r="D1" s="2152"/>
      <c r="E1" s="2152"/>
      <c r="F1" s="2152"/>
      <c r="G1" s="212" t="s">
        <v>982</v>
      </c>
      <c r="H1" s="211"/>
      <c r="I1" s="211"/>
      <c r="J1" s="211"/>
    </row>
    <row r="2" spans="1:10" s="213" customFormat="1" ht="12" customHeight="1">
      <c r="A2" s="2155" t="s">
        <v>169</v>
      </c>
      <c r="B2" s="2138"/>
      <c r="C2" s="2158" t="s">
        <v>170</v>
      </c>
      <c r="D2" s="2159"/>
      <c r="E2" s="1868" t="s">
        <v>171</v>
      </c>
      <c r="F2" s="1851"/>
      <c r="G2" s="2154"/>
    </row>
    <row r="3" spans="1:10" s="213" customFormat="1" ht="12.75" customHeight="1">
      <c r="A3" s="2156"/>
      <c r="B3" s="2157"/>
      <c r="C3" s="2160"/>
      <c r="D3" s="2161"/>
      <c r="E3" s="1868" t="s">
        <v>2535</v>
      </c>
      <c r="F3" s="2154"/>
      <c r="G3" s="987" t="s">
        <v>103</v>
      </c>
    </row>
    <row r="4" spans="1:10" ht="9.9499999999999993" hidden="1" customHeight="1">
      <c r="A4" s="12" t="s">
        <v>150</v>
      </c>
      <c r="B4" s="12"/>
      <c r="C4" s="453">
        <v>192263</v>
      </c>
      <c r="D4" s="453"/>
      <c r="E4" s="38" t="s">
        <v>172</v>
      </c>
      <c r="F4" s="38"/>
      <c r="G4" s="19">
        <v>4354.8999999999996</v>
      </c>
      <c r="H4" s="1605"/>
      <c r="I4" s="1605"/>
    </row>
    <row r="5" spans="1:10" ht="9.9499999999999993" customHeight="1">
      <c r="A5" s="552" t="s">
        <v>151</v>
      </c>
      <c r="B5" s="552"/>
      <c r="C5" s="588">
        <v>199925</v>
      </c>
      <c r="D5" s="588"/>
      <c r="E5" s="576" t="s">
        <v>173</v>
      </c>
      <c r="F5" s="576"/>
      <c r="G5" s="580">
        <v>4814.47</v>
      </c>
      <c r="H5" s="1605"/>
      <c r="I5" s="1605"/>
    </row>
    <row r="6" spans="1:10" ht="9.9499999999999993" customHeight="1">
      <c r="A6" s="12" t="s">
        <v>152</v>
      </c>
      <c r="B6" s="12"/>
      <c r="C6" s="453">
        <v>181462</v>
      </c>
      <c r="D6" s="453"/>
      <c r="E6" s="38" t="s">
        <v>174</v>
      </c>
      <c r="F6" s="38"/>
      <c r="G6" s="19">
        <v>4970.04</v>
      </c>
      <c r="H6" s="1605"/>
      <c r="I6" s="1605"/>
    </row>
    <row r="7" spans="1:10" ht="9.9499999999999993" customHeight="1">
      <c r="A7" s="552" t="s">
        <v>153</v>
      </c>
      <c r="B7" s="552"/>
      <c r="C7" s="588">
        <v>227584</v>
      </c>
      <c r="D7" s="588"/>
      <c r="E7" s="576" t="s">
        <v>175</v>
      </c>
      <c r="F7" s="576"/>
      <c r="G7" s="580">
        <v>6300.04</v>
      </c>
      <c r="H7" s="1605"/>
      <c r="I7" s="1605"/>
    </row>
    <row r="8" spans="1:10" ht="9.9499999999999993" customHeight="1">
      <c r="A8" s="12" t="s">
        <v>154</v>
      </c>
      <c r="B8" s="12"/>
      <c r="C8" s="453">
        <v>242811</v>
      </c>
      <c r="D8" s="453"/>
      <c r="E8" s="38" t="s">
        <v>176</v>
      </c>
      <c r="F8" s="38"/>
      <c r="G8" s="19">
        <v>6934.6</v>
      </c>
      <c r="H8" s="1605"/>
      <c r="I8" s="1605"/>
    </row>
    <row r="9" spans="1:10" ht="9.9499999999999993" customHeight="1">
      <c r="A9" s="552" t="s">
        <v>155</v>
      </c>
      <c r="B9" s="552"/>
      <c r="C9" s="588">
        <v>270390</v>
      </c>
      <c r="D9" s="588"/>
      <c r="E9" s="576" t="s">
        <v>177</v>
      </c>
      <c r="F9" s="576"/>
      <c r="G9" s="580">
        <v>8197.7800000000007</v>
      </c>
      <c r="H9" s="1605"/>
      <c r="I9" s="1605"/>
    </row>
    <row r="10" spans="1:10" ht="9.9499999999999993" customHeight="1">
      <c r="A10" s="12" t="s">
        <v>156</v>
      </c>
      <c r="B10" s="12"/>
      <c r="C10" s="453">
        <v>248291</v>
      </c>
      <c r="D10" s="453"/>
      <c r="E10" s="38">
        <v>1949.32</v>
      </c>
      <c r="F10" s="38"/>
      <c r="G10" s="19">
        <v>9807.0300000000007</v>
      </c>
      <c r="H10" s="1605"/>
      <c r="I10" s="1605"/>
    </row>
    <row r="11" spans="1:10" ht="9.9499999999999993" customHeight="1">
      <c r="A11" s="552" t="s">
        <v>1258</v>
      </c>
      <c r="B11" s="552"/>
      <c r="C11" s="588" t="s">
        <v>552</v>
      </c>
      <c r="D11" s="588"/>
      <c r="E11" s="576" t="s">
        <v>178</v>
      </c>
      <c r="F11" s="576"/>
      <c r="G11" s="580">
        <v>10170.01</v>
      </c>
      <c r="H11" s="1605"/>
      <c r="I11" s="1605"/>
    </row>
    <row r="12" spans="1:10" ht="9.9499999999999993" customHeight="1">
      <c r="A12" s="12" t="s">
        <v>1202</v>
      </c>
      <c r="B12" s="12"/>
      <c r="C12" s="453">
        <v>185534</v>
      </c>
      <c r="D12" s="453"/>
      <c r="E12" s="38">
        <v>2501.13</v>
      </c>
      <c r="F12" s="38"/>
      <c r="G12" s="19">
        <v>14363.98</v>
      </c>
      <c r="H12" s="1605"/>
      <c r="I12" s="1605"/>
    </row>
    <row r="13" spans="1:10" ht="9.9499999999999993" customHeight="1">
      <c r="A13" s="552" t="s">
        <v>1203</v>
      </c>
      <c r="B13" s="552"/>
      <c r="C13" s="588">
        <v>241425</v>
      </c>
      <c r="D13" s="588"/>
      <c r="E13" s="576">
        <v>3061.97</v>
      </c>
      <c r="F13" s="576"/>
      <c r="G13" s="580">
        <v>17728.810000000001</v>
      </c>
      <c r="H13" s="1605"/>
      <c r="I13" s="1605"/>
    </row>
    <row r="14" spans="1:10" ht="9.9499999999999993" customHeight="1">
      <c r="A14" s="12" t="s">
        <v>1204</v>
      </c>
      <c r="B14" s="12"/>
      <c r="C14" s="453">
        <v>272693</v>
      </c>
      <c r="D14" s="453"/>
      <c r="E14" s="38">
        <v>3371.97</v>
      </c>
      <c r="F14" s="38"/>
      <c r="G14" s="19">
        <v>19874.39</v>
      </c>
      <c r="H14" s="1605"/>
      <c r="I14" s="1605"/>
    </row>
    <row r="15" spans="1:10" ht="9.9499999999999993" customHeight="1">
      <c r="A15" s="552" t="s">
        <v>1205</v>
      </c>
      <c r="B15" s="552"/>
      <c r="C15" s="588">
        <v>251699</v>
      </c>
      <c r="D15" s="588"/>
      <c r="E15" s="576">
        <v>3848.29</v>
      </c>
      <c r="F15" s="576"/>
      <c r="G15" s="580">
        <v>23624.65</v>
      </c>
      <c r="H15" s="1605"/>
      <c r="I15" s="1605"/>
    </row>
    <row r="16" spans="1:10" ht="9.9499999999999993" customHeight="1">
      <c r="A16" s="12" t="s">
        <v>1210</v>
      </c>
      <c r="B16" s="12"/>
      <c r="C16" s="453">
        <v>286381</v>
      </c>
      <c r="D16" s="453"/>
      <c r="E16" s="38">
        <v>4802.41</v>
      </c>
      <c r="F16" s="38"/>
      <c r="G16" s="19">
        <v>32214.566279999999</v>
      </c>
      <c r="H16" s="1605"/>
      <c r="I16" s="1605"/>
    </row>
    <row r="17" spans="1:9" ht="9.9499999999999993" customHeight="1">
      <c r="A17" s="552" t="s">
        <v>1219</v>
      </c>
      <c r="B17" s="552"/>
      <c r="C17" s="662">
        <v>563584</v>
      </c>
      <c r="D17" s="662"/>
      <c r="E17" s="534">
        <v>5998.47</v>
      </c>
      <c r="F17" s="534"/>
      <c r="G17" s="537">
        <v>41298.540820000009</v>
      </c>
      <c r="H17" s="1605"/>
      <c r="I17" s="1605"/>
    </row>
    <row r="18" spans="1:9" ht="9.9499999999999993" customHeight="1">
      <c r="A18" s="12" t="s">
        <v>916</v>
      </c>
      <c r="B18" s="12"/>
      <c r="C18" s="663">
        <v>981102</v>
      </c>
      <c r="D18" s="663"/>
      <c r="E18" s="37">
        <v>7914.78</v>
      </c>
      <c r="F18" s="37"/>
      <c r="G18" s="21">
        <v>54295.16</v>
      </c>
      <c r="H18" s="1612"/>
      <c r="I18" s="1605"/>
    </row>
    <row r="19" spans="1:9" ht="9.9499999999999993" customHeight="1">
      <c r="A19" s="578" t="s">
        <v>230</v>
      </c>
      <c r="B19" s="578"/>
      <c r="C19" s="589">
        <v>650059</v>
      </c>
      <c r="D19" s="589"/>
      <c r="E19" s="534">
        <v>9689.26</v>
      </c>
      <c r="F19" s="534"/>
      <c r="G19" s="537">
        <v>66676.509999999995</v>
      </c>
      <c r="H19" s="1605"/>
      <c r="I19" s="1605"/>
    </row>
    <row r="20" spans="1:9" ht="9.9499999999999993" customHeight="1">
      <c r="A20" s="99" t="s">
        <v>220</v>
      </c>
      <c r="B20" s="99"/>
      <c r="C20" s="421">
        <v>427180</v>
      </c>
      <c r="D20" s="421"/>
      <c r="E20" s="37">
        <v>10987.4</v>
      </c>
      <c r="F20" s="37"/>
      <c r="G20" s="21">
        <v>76010.833200000008</v>
      </c>
      <c r="H20" s="1605"/>
      <c r="I20" s="1605"/>
    </row>
    <row r="21" spans="1:9" ht="9.9499999999999993" customHeight="1">
      <c r="A21" s="578" t="s">
        <v>489</v>
      </c>
      <c r="B21" s="578"/>
      <c r="C21" s="589">
        <v>439375</v>
      </c>
      <c r="D21" s="589"/>
      <c r="E21" s="534">
        <v>11650.32</v>
      </c>
      <c r="F21" s="534"/>
      <c r="G21" s="537">
        <v>83008.885067382464</v>
      </c>
      <c r="H21" s="1605"/>
      <c r="I21" s="1605"/>
    </row>
    <row r="22" spans="1:9" s="385" customFormat="1" ht="9.9499999999999993" customHeight="1">
      <c r="A22" s="666" t="s">
        <v>1580</v>
      </c>
      <c r="B22" s="666"/>
      <c r="C22" s="916">
        <v>691402</v>
      </c>
      <c r="D22" s="916"/>
      <c r="E22" s="42">
        <v>12843.429999999998</v>
      </c>
      <c r="F22" s="42"/>
      <c r="G22" s="43">
        <v>101591.53129999999</v>
      </c>
      <c r="H22" s="1612"/>
      <c r="I22" s="1605"/>
    </row>
    <row r="23" spans="1:9" s="385" customFormat="1" ht="9.9499999999999993" customHeight="1">
      <c r="A23" s="578" t="s">
        <v>1809</v>
      </c>
      <c r="B23" s="578"/>
      <c r="C23" s="589">
        <v>441301</v>
      </c>
      <c r="D23" s="589"/>
      <c r="E23" s="534">
        <v>14461.15</v>
      </c>
      <c r="F23" s="534"/>
      <c r="G23" s="537">
        <v>115646.15801927802</v>
      </c>
      <c r="H23" s="1612"/>
      <c r="I23" s="1605"/>
    </row>
    <row r="24" spans="1:9" s="385" customFormat="1" ht="9.9499999999999993" customHeight="1">
      <c r="A24" s="927" t="s">
        <v>2226</v>
      </c>
      <c r="B24" s="666"/>
      <c r="C24" s="1030">
        <f>SUM(C25:C36)</f>
        <v>408870</v>
      </c>
      <c r="D24" s="667"/>
      <c r="E24" s="259">
        <f>SUM(E25:E36)</f>
        <v>14228.3</v>
      </c>
      <c r="G24" s="259">
        <f>SUM(G25:G36)</f>
        <v>110582.38341698999</v>
      </c>
      <c r="H24" s="1612"/>
      <c r="I24" s="1605"/>
    </row>
    <row r="25" spans="1:9" s="385" customFormat="1" ht="9.9499999999999993" hidden="1" customHeight="1">
      <c r="A25" s="578" t="s">
        <v>1211</v>
      </c>
      <c r="B25" s="578"/>
      <c r="C25" s="665">
        <v>37097</v>
      </c>
      <c r="D25" s="665"/>
      <c r="E25" s="844">
        <v>1238.96</v>
      </c>
      <c r="F25" s="544"/>
      <c r="G25" s="537">
        <v>9633.7858561519988</v>
      </c>
      <c r="H25" s="1612"/>
      <c r="I25" s="1605"/>
    </row>
    <row r="26" spans="1:9" s="385" customFormat="1" ht="9.9499999999999993" hidden="1" customHeight="1">
      <c r="A26" s="666" t="s">
        <v>1212</v>
      </c>
      <c r="B26" s="666"/>
      <c r="C26" s="667">
        <v>27949</v>
      </c>
      <c r="D26" s="667"/>
      <c r="E26" s="853">
        <v>1005.77</v>
      </c>
      <c r="G26" s="43">
        <v>7820.2295600890002</v>
      </c>
      <c r="H26" s="1612"/>
      <c r="I26" s="1605"/>
    </row>
    <row r="27" spans="1:9" s="385" customFormat="1" ht="9.9499999999999993" hidden="1" customHeight="1">
      <c r="A27" s="578" t="s">
        <v>1206</v>
      </c>
      <c r="B27" s="578"/>
      <c r="C27" s="665">
        <v>35203</v>
      </c>
      <c r="D27" s="665"/>
      <c r="E27" s="844">
        <v>1025.7</v>
      </c>
      <c r="F27" s="544"/>
      <c r="G27" s="537">
        <v>7974.8380139999999</v>
      </c>
      <c r="H27" s="1612"/>
      <c r="I27" s="1605"/>
    </row>
    <row r="28" spans="1:9" s="385" customFormat="1" ht="9.9499999999999993" hidden="1" customHeight="1">
      <c r="A28" s="666" t="s">
        <v>1213</v>
      </c>
      <c r="B28" s="666"/>
      <c r="C28" s="667">
        <v>33630</v>
      </c>
      <c r="D28" s="667"/>
      <c r="E28" s="853">
        <v>1230.68</v>
      </c>
      <c r="G28" s="43">
        <v>9568.6108408</v>
      </c>
      <c r="H28" s="1612"/>
      <c r="I28" s="1605"/>
    </row>
    <row r="29" spans="1:9" s="385" customFormat="1" ht="9.9499999999999993" hidden="1" customHeight="1">
      <c r="A29" s="578" t="s">
        <v>1214</v>
      </c>
      <c r="B29" s="578"/>
      <c r="C29" s="665">
        <v>29428</v>
      </c>
      <c r="D29" s="665"/>
      <c r="E29" s="844">
        <v>1061.45</v>
      </c>
      <c r="F29" s="544"/>
      <c r="G29" s="537">
        <v>8252.8655654249997</v>
      </c>
      <c r="H29" s="1612"/>
      <c r="I29" s="1605"/>
    </row>
    <row r="30" spans="1:9" s="385" customFormat="1" ht="9.9499999999999993" hidden="1" customHeight="1">
      <c r="A30" s="666" t="s">
        <v>1207</v>
      </c>
      <c r="B30" s="666"/>
      <c r="C30" s="667">
        <v>37606</v>
      </c>
      <c r="D30" s="667"/>
      <c r="E30" s="853">
        <v>1210.21</v>
      </c>
      <c r="G30" s="43">
        <v>9409.5049812099987</v>
      </c>
      <c r="H30" s="1612"/>
      <c r="I30" s="1605"/>
    </row>
    <row r="31" spans="1:9" s="385" customFormat="1" ht="9.9499999999999993" hidden="1" customHeight="1">
      <c r="A31" s="578" t="s">
        <v>1215</v>
      </c>
      <c r="B31" s="578"/>
      <c r="C31" s="665">
        <v>34200</v>
      </c>
      <c r="D31" s="665"/>
      <c r="E31" s="844">
        <v>1260.6600000000001</v>
      </c>
      <c r="F31" s="544"/>
      <c r="G31" s="537">
        <v>9801.7015926959994</v>
      </c>
      <c r="H31" s="1612"/>
      <c r="I31" s="1605"/>
    </row>
    <row r="32" spans="1:9" s="385" customFormat="1" ht="9.9499999999999993" hidden="1" customHeight="1">
      <c r="A32" s="666" t="s">
        <v>1216</v>
      </c>
      <c r="B32" s="666"/>
      <c r="C32" s="667">
        <v>28510</v>
      </c>
      <c r="D32" s="667"/>
      <c r="E32" s="853">
        <v>1173.1600000000001</v>
      </c>
      <c r="G32" s="43">
        <v>9121.3373012959983</v>
      </c>
      <c r="H32" s="1612"/>
      <c r="I32" s="1605"/>
    </row>
    <row r="33" spans="1:9" s="385" customFormat="1" ht="9.9499999999999993" hidden="1" customHeight="1">
      <c r="A33" s="578" t="s">
        <v>1208</v>
      </c>
      <c r="B33" s="578"/>
      <c r="C33" s="665">
        <v>33358</v>
      </c>
      <c r="D33" s="665"/>
      <c r="E33" s="844">
        <v>1288.6199999999999</v>
      </c>
      <c r="F33" s="544"/>
      <c r="G33" s="537">
        <v>10014.033282876</v>
      </c>
      <c r="H33" s="1612"/>
      <c r="I33" s="1605"/>
    </row>
    <row r="34" spans="1:9" s="385" customFormat="1" ht="9.9499999999999993" hidden="1" customHeight="1">
      <c r="A34" s="666" t="s">
        <v>1217</v>
      </c>
      <c r="B34" s="666"/>
      <c r="C34" s="667">
        <v>36611</v>
      </c>
      <c r="D34" s="667"/>
      <c r="E34" s="853">
        <v>1230.5700000000002</v>
      </c>
      <c r="G34" s="43">
        <v>9557.0148000690006</v>
      </c>
      <c r="H34" s="1612"/>
      <c r="I34" s="1605"/>
    </row>
    <row r="35" spans="1:9" s="385" customFormat="1" ht="9.9499999999999993" hidden="1" customHeight="1">
      <c r="A35" s="578" t="s">
        <v>1218</v>
      </c>
      <c r="B35" s="578"/>
      <c r="C35" s="665">
        <v>37430</v>
      </c>
      <c r="D35" s="665"/>
      <c r="E35" s="844">
        <v>1215.83</v>
      </c>
      <c r="F35" s="544"/>
      <c r="G35" s="537">
        <v>9439.8729987869992</v>
      </c>
      <c r="H35" s="1612"/>
      <c r="I35" s="1605"/>
    </row>
    <row r="36" spans="1:9" s="385" customFormat="1" ht="9.9499999999999993" hidden="1" customHeight="1">
      <c r="A36" s="666" t="s">
        <v>1209</v>
      </c>
      <c r="B36" s="666"/>
      <c r="C36" s="667">
        <v>37848</v>
      </c>
      <c r="D36" s="667"/>
      <c r="E36" s="853">
        <v>1286.69</v>
      </c>
      <c r="G36" s="43">
        <v>9988.5886235899998</v>
      </c>
      <c r="H36" s="1612"/>
      <c r="I36" s="1605"/>
    </row>
    <row r="37" spans="1:9" s="385" customFormat="1" ht="9.9499999999999993" customHeight="1">
      <c r="A37" s="664" t="s">
        <v>2376</v>
      </c>
      <c r="B37" s="664"/>
      <c r="C37" s="1047">
        <f>SUM(C38:C49)</f>
        <v>461829</v>
      </c>
      <c r="D37" s="1047"/>
      <c r="E37" s="1047">
        <f>SUM(E38:E49)</f>
        <v>15316.91</v>
      </c>
      <c r="F37" s="1047"/>
      <c r="G37" s="1257">
        <f>SUM(G38:G49)</f>
        <v>118982.31547276099</v>
      </c>
      <c r="H37" s="1612"/>
      <c r="I37" s="1605"/>
    </row>
    <row r="38" spans="1:9" s="385" customFormat="1" ht="9.9499999999999993" customHeight="1">
      <c r="A38" s="666" t="s">
        <v>1211</v>
      </c>
      <c r="B38" s="666"/>
      <c r="C38" s="667">
        <v>31851</v>
      </c>
      <c r="D38" s="667"/>
      <c r="E38" s="853">
        <v>1492.47</v>
      </c>
      <c r="G38" s="43">
        <v>11580.190082974997</v>
      </c>
      <c r="H38" s="1612"/>
      <c r="I38" s="1605"/>
    </row>
    <row r="39" spans="1:9" s="385" customFormat="1" ht="9.9499999999999993" customHeight="1">
      <c r="A39" s="578" t="s">
        <v>1212</v>
      </c>
      <c r="B39" s="578"/>
      <c r="C39" s="665">
        <v>30373</v>
      </c>
      <c r="D39" s="665"/>
      <c r="E39" s="844">
        <v>1174.3699999999999</v>
      </c>
      <c r="F39" s="544"/>
      <c r="G39" s="537">
        <v>9096.1767845999984</v>
      </c>
      <c r="H39" s="1612"/>
      <c r="I39" s="1605"/>
    </row>
    <row r="40" spans="1:9" s="385" customFormat="1" ht="9.9499999999999993" customHeight="1">
      <c r="A40" s="666" t="s">
        <v>1206</v>
      </c>
      <c r="B40" s="666"/>
      <c r="C40" s="667">
        <v>38267</v>
      </c>
      <c r="D40" s="667"/>
      <c r="E40" s="853">
        <v>1344.27</v>
      </c>
      <c r="G40" s="43">
        <v>10404.727364378999</v>
      </c>
      <c r="H40" s="1612"/>
      <c r="I40" s="1605"/>
    </row>
    <row r="41" spans="1:9" s="385" customFormat="1" ht="9.9499999999999993" customHeight="1">
      <c r="A41" s="578" t="s">
        <v>1213</v>
      </c>
      <c r="B41" s="578"/>
      <c r="C41" s="665">
        <v>30923</v>
      </c>
      <c r="D41" s="665"/>
      <c r="E41" s="844">
        <v>1018.03</v>
      </c>
      <c r="F41" s="544"/>
      <c r="G41" s="537">
        <v>7879.8704707559991</v>
      </c>
      <c r="H41" s="1612"/>
      <c r="I41" s="1605"/>
    </row>
    <row r="42" spans="1:9" s="385" customFormat="1" ht="9.9499999999999993" customHeight="1">
      <c r="A42" s="666" t="s">
        <v>1214</v>
      </c>
      <c r="B42" s="666"/>
      <c r="C42" s="667">
        <v>42927</v>
      </c>
      <c r="D42" s="667"/>
      <c r="E42" s="853">
        <v>1182.95</v>
      </c>
      <c r="G42" s="43">
        <v>9169.6191807499999</v>
      </c>
      <c r="H42" s="1612"/>
      <c r="I42" s="1605"/>
    </row>
    <row r="43" spans="1:9" s="385" customFormat="1" ht="9.9499999999999993" customHeight="1">
      <c r="A43" s="578" t="s">
        <v>1207</v>
      </c>
      <c r="B43" s="578"/>
      <c r="C43" s="665">
        <v>43249</v>
      </c>
      <c r="D43" s="665"/>
      <c r="E43" s="844">
        <v>1275.06</v>
      </c>
      <c r="F43" s="544"/>
      <c r="G43" s="537">
        <v>9927.1448777760015</v>
      </c>
      <c r="H43" s="1612"/>
      <c r="I43" s="1605"/>
    </row>
    <row r="44" spans="1:9" s="385" customFormat="1" ht="9.9499999999999993" customHeight="1">
      <c r="A44" s="1032" t="s">
        <v>1215</v>
      </c>
      <c r="B44" s="1032"/>
      <c r="C44" s="1151">
        <v>28333</v>
      </c>
      <c r="D44" s="1151"/>
      <c r="E44" s="1152">
        <v>1243.25</v>
      </c>
      <c r="F44" s="736"/>
      <c r="G44" s="483">
        <v>9681.5101247250004</v>
      </c>
      <c r="H44" s="1612"/>
      <c r="I44" s="1605"/>
    </row>
    <row r="45" spans="1:9" s="385" customFormat="1" ht="9.9499999999999993" customHeight="1">
      <c r="A45" s="1160" t="s">
        <v>1216</v>
      </c>
      <c r="B45" s="1160"/>
      <c r="C45" s="1161">
        <v>35057</v>
      </c>
      <c r="D45" s="1161"/>
      <c r="E45" s="1162">
        <v>1189.5999999999999</v>
      </c>
      <c r="F45" s="682"/>
      <c r="G45" s="531">
        <v>9255.0880000000016</v>
      </c>
      <c r="H45" s="1612"/>
      <c r="I45" s="1605"/>
    </row>
    <row r="46" spans="1:9" s="385" customFormat="1" ht="9.9499999999999993" customHeight="1">
      <c r="A46" s="1032" t="s">
        <v>1208</v>
      </c>
      <c r="B46" s="1032"/>
      <c r="C46" s="1151">
        <v>45319</v>
      </c>
      <c r="D46" s="1151"/>
      <c r="E46" s="1152">
        <v>1338.31</v>
      </c>
      <c r="F46" s="736"/>
      <c r="G46" s="483">
        <v>10412.051799999997</v>
      </c>
      <c r="H46" s="1612"/>
      <c r="I46" s="1605"/>
    </row>
    <row r="47" spans="1:9" s="385" customFormat="1" ht="9.9499999999999993" customHeight="1">
      <c r="A47" s="1160" t="s">
        <v>1217</v>
      </c>
      <c r="B47" s="1160"/>
      <c r="C47" s="1161">
        <v>44952</v>
      </c>
      <c r="D47" s="1161"/>
      <c r="E47" s="1162">
        <v>1297.49</v>
      </c>
      <c r="F47" s="682"/>
      <c r="G47" s="531">
        <v>10094.4722</v>
      </c>
      <c r="H47" s="1612"/>
      <c r="I47" s="1605"/>
    </row>
    <row r="48" spans="1:9" s="385" customFormat="1" ht="9.9499999999999993" customHeight="1">
      <c r="A48" s="1218" t="s">
        <v>1218</v>
      </c>
      <c r="B48" s="1218"/>
      <c r="C48" s="1226">
        <v>44910</v>
      </c>
      <c r="D48" s="1226"/>
      <c r="E48" s="1227">
        <v>1321.77</v>
      </c>
      <c r="F48" s="1228"/>
      <c r="G48" s="483">
        <v>10283.3706</v>
      </c>
      <c r="H48" s="1612"/>
      <c r="I48" s="1605"/>
    </row>
    <row r="49" spans="1:9" s="385" customFormat="1" ht="9.9499999999999993" customHeight="1">
      <c r="A49" s="1160" t="s">
        <v>1209</v>
      </c>
      <c r="B49" s="1160"/>
      <c r="C49" s="1161">
        <v>45668</v>
      </c>
      <c r="D49" s="1161"/>
      <c r="E49" s="1162">
        <v>1439.34</v>
      </c>
      <c r="F49" s="682"/>
      <c r="G49" s="531">
        <v>11198.093986799999</v>
      </c>
      <c r="H49" s="1612"/>
      <c r="I49" s="1605"/>
    </row>
    <row r="50" spans="1:9" s="385" customFormat="1" ht="11.25" customHeight="1">
      <c r="A50" s="1102" t="s">
        <v>2608</v>
      </c>
      <c r="B50" s="1032"/>
      <c r="C50" s="1393">
        <f>SUM(C51:C62)</f>
        <v>684537</v>
      </c>
      <c r="D50" s="1393"/>
      <c r="E50" s="1394">
        <f>SUM(E51:E62)</f>
        <v>14931.18</v>
      </c>
      <c r="F50" s="1393"/>
      <c r="G50" s="1394">
        <f>SUM(G51:G62)</f>
        <v>116856.72088078099</v>
      </c>
      <c r="H50" s="1612"/>
      <c r="I50" s="1605"/>
    </row>
    <row r="51" spans="1:9" s="385" customFormat="1" ht="10.5" customHeight="1">
      <c r="A51" s="1160" t="s">
        <v>1211</v>
      </c>
      <c r="B51" s="1160"/>
      <c r="C51" s="1161">
        <v>43196</v>
      </c>
      <c r="D51" s="1161"/>
      <c r="E51" s="1162">
        <v>1389.56</v>
      </c>
      <c r="F51" s="682"/>
      <c r="G51" s="531">
        <v>10810.7768</v>
      </c>
      <c r="H51" s="1612"/>
      <c r="I51" s="1605"/>
    </row>
    <row r="52" spans="1:9" s="385" customFormat="1" ht="9.75" customHeight="1">
      <c r="A52" s="1032" t="s">
        <v>1212</v>
      </c>
      <c r="B52" s="1032"/>
      <c r="C52" s="1151">
        <v>41765</v>
      </c>
      <c r="D52" s="1151"/>
      <c r="E52" s="1152">
        <v>1195.02</v>
      </c>
      <c r="F52" s="736"/>
      <c r="G52" s="483">
        <v>9297.2555999999986</v>
      </c>
      <c r="H52" s="1612"/>
      <c r="I52" s="1605"/>
    </row>
    <row r="53" spans="1:9" s="385" customFormat="1" ht="10.5" customHeight="1">
      <c r="A53" s="1160" t="s">
        <v>1206</v>
      </c>
      <c r="B53" s="1160"/>
      <c r="C53" s="1161">
        <v>47277</v>
      </c>
      <c r="D53" s="1161"/>
      <c r="E53" s="1162">
        <v>1349.06</v>
      </c>
      <c r="F53" s="682"/>
      <c r="G53" s="531">
        <v>10495.7947248</v>
      </c>
      <c r="H53" s="1612"/>
      <c r="I53" s="1605"/>
    </row>
    <row r="54" spans="1:9" s="385" customFormat="1" ht="10.5" customHeight="1">
      <c r="A54" s="1218" t="s">
        <v>1213</v>
      </c>
      <c r="B54" s="1218"/>
      <c r="C54" s="1226">
        <v>50829</v>
      </c>
      <c r="D54" s="1226"/>
      <c r="E54" s="1227">
        <v>1098.46</v>
      </c>
      <c r="F54" s="1228"/>
      <c r="G54" s="1223">
        <v>8548.3804889999992</v>
      </c>
      <c r="H54" s="1612"/>
      <c r="I54" s="1605"/>
    </row>
    <row r="55" spans="1:9" s="385" customFormat="1" ht="10.5" customHeight="1">
      <c r="A55" s="1160" t="s">
        <v>1214</v>
      </c>
      <c r="B55" s="1160"/>
      <c r="C55" s="1161">
        <v>63440</v>
      </c>
      <c r="D55" s="1161"/>
      <c r="E55" s="1162">
        <v>1142.49</v>
      </c>
      <c r="F55" s="682"/>
      <c r="G55" s="531">
        <v>8971.6769226000015</v>
      </c>
      <c r="H55" s="1612"/>
      <c r="I55" s="1605"/>
    </row>
    <row r="56" spans="1:9" s="385" customFormat="1" ht="10.5" customHeight="1">
      <c r="A56" s="1032" t="s">
        <v>1207</v>
      </c>
      <c r="B56" s="1032"/>
      <c r="C56" s="1151">
        <v>65135</v>
      </c>
      <c r="D56" s="1151"/>
      <c r="E56" s="1152">
        <v>1312.6</v>
      </c>
      <c r="F56" s="736"/>
      <c r="G56" s="483">
        <v>10341.534647679997</v>
      </c>
      <c r="H56" s="1612"/>
      <c r="I56" s="1605"/>
    </row>
    <row r="57" spans="1:9" s="385" customFormat="1" ht="10.5" customHeight="1">
      <c r="A57" s="1160" t="s">
        <v>1215</v>
      </c>
      <c r="B57" s="1160"/>
      <c r="C57" s="1161">
        <v>63998</v>
      </c>
      <c r="D57" s="1161"/>
      <c r="E57" s="1162">
        <v>1150.6400000000001</v>
      </c>
      <c r="F57" s="682"/>
      <c r="G57" s="531">
        <v>9032.5339834469978</v>
      </c>
      <c r="H57" s="1612"/>
      <c r="I57" s="1605"/>
    </row>
    <row r="58" spans="1:9" s="385" customFormat="1" ht="9.75" customHeight="1">
      <c r="A58" s="1032" t="s">
        <v>1216</v>
      </c>
      <c r="B58" s="1032"/>
      <c r="C58" s="1151">
        <v>62024</v>
      </c>
      <c r="D58" s="1151"/>
      <c r="E58" s="1152">
        <v>1136.26</v>
      </c>
      <c r="F58" s="736"/>
      <c r="G58" s="483">
        <v>8925.5940159000002</v>
      </c>
      <c r="H58" s="1612"/>
      <c r="I58" s="1605"/>
    </row>
    <row r="59" spans="1:9" s="385" customFormat="1" ht="9.75" customHeight="1">
      <c r="A59" s="1160" t="s">
        <v>1208</v>
      </c>
      <c r="B59" s="1160"/>
      <c r="C59" s="1161">
        <v>64846</v>
      </c>
      <c r="D59" s="1161"/>
      <c r="E59" s="1162">
        <v>1285.5899999999999</v>
      </c>
      <c r="F59" s="682"/>
      <c r="G59" s="531">
        <v>10080.613697353996</v>
      </c>
      <c r="H59" s="1612"/>
      <c r="I59" s="1605"/>
    </row>
    <row r="60" spans="1:9" s="385" customFormat="1" ht="9.75" customHeight="1">
      <c r="A60" s="1032" t="s">
        <v>1217</v>
      </c>
      <c r="B60" s="1032"/>
      <c r="C60" s="1151">
        <v>58993</v>
      </c>
      <c r="D60" s="1151"/>
      <c r="E60" s="1152">
        <v>1191.1500000000001</v>
      </c>
      <c r="F60" s="736"/>
      <c r="G60" s="483">
        <v>9338.616</v>
      </c>
      <c r="H60" s="1612"/>
      <c r="I60" s="1605"/>
    </row>
    <row r="61" spans="1:9" s="385" customFormat="1" ht="9.75" customHeight="1">
      <c r="A61" s="1160" t="s">
        <v>1218</v>
      </c>
      <c r="B61" s="1160"/>
      <c r="C61" s="1161">
        <v>60909</v>
      </c>
      <c r="D61" s="1161"/>
      <c r="E61" s="1162">
        <v>1214.48</v>
      </c>
      <c r="F61" s="682"/>
      <c r="G61" s="531">
        <v>9521.5232000000033</v>
      </c>
      <c r="H61" s="1612"/>
      <c r="I61" s="1605"/>
    </row>
    <row r="62" spans="1:9" s="385" customFormat="1" ht="9.75" customHeight="1">
      <c r="A62" s="1032" t="s">
        <v>1209</v>
      </c>
      <c r="B62" s="1032"/>
      <c r="C62" s="1151">
        <v>62125</v>
      </c>
      <c r="D62" s="1151"/>
      <c r="E62" s="1152">
        <v>1465.87</v>
      </c>
      <c r="F62" s="736"/>
      <c r="G62" s="483">
        <v>11492.420800000002</v>
      </c>
      <c r="H62" s="1612"/>
      <c r="I62" s="1605"/>
    </row>
    <row r="63" spans="1:9" s="385" customFormat="1" ht="9.75" customHeight="1">
      <c r="A63" s="1446" t="s">
        <v>2858</v>
      </c>
      <c r="B63" s="1160"/>
      <c r="C63" s="1522"/>
      <c r="D63" s="1522"/>
      <c r="E63" s="1522"/>
      <c r="F63" s="694"/>
      <c r="G63" s="1523"/>
      <c r="H63" s="1612"/>
      <c r="I63" s="1605"/>
    </row>
    <row r="64" spans="1:9" s="385" customFormat="1" ht="12.75" customHeight="1">
      <c r="A64" s="1032" t="s">
        <v>1211</v>
      </c>
      <c r="B64" s="1032"/>
      <c r="C64" s="1151">
        <v>48321</v>
      </c>
      <c r="D64" s="1151"/>
      <c r="E64" s="483">
        <v>1005.51</v>
      </c>
      <c r="F64" s="736"/>
      <c r="G64" s="483">
        <v>7883.0415999999987</v>
      </c>
      <c r="H64" s="1612"/>
      <c r="I64" s="1605"/>
    </row>
    <row r="65" spans="1:10" s="385" customFormat="1" ht="12.75" customHeight="1">
      <c r="A65" s="1160" t="s">
        <v>1212</v>
      </c>
      <c r="B65" s="1160"/>
      <c r="C65" s="1483">
        <v>69190</v>
      </c>
      <c r="D65" s="1161"/>
      <c r="E65" s="531">
        <v>1183.6099999999999</v>
      </c>
      <c r="F65" s="682"/>
      <c r="G65" s="531">
        <v>9279.4239999999991</v>
      </c>
      <c r="H65" s="1612"/>
      <c r="I65" s="1605"/>
    </row>
    <row r="66" spans="1:10" s="385" customFormat="1" ht="12.75" customHeight="1">
      <c r="A66" s="1032" t="s">
        <v>1206</v>
      </c>
      <c r="B66" s="1032"/>
      <c r="C66" s="1503">
        <v>55869</v>
      </c>
      <c r="D66" s="1151"/>
      <c r="E66" s="483">
        <v>1056.6400000000001</v>
      </c>
      <c r="F66" s="736"/>
      <c r="G66" s="483">
        <v>8284.0576000000019</v>
      </c>
      <c r="H66" s="1612"/>
      <c r="I66" s="1605"/>
    </row>
    <row r="67" spans="1:10" s="385" customFormat="1" ht="12.75" customHeight="1">
      <c r="A67" s="1160" t="s">
        <v>1213</v>
      </c>
      <c r="B67" s="1160"/>
      <c r="C67" s="1483">
        <v>61111</v>
      </c>
      <c r="D67" s="1161"/>
      <c r="E67" s="531">
        <v>1010.99</v>
      </c>
      <c r="F67" s="682"/>
      <c r="G67" s="531">
        <v>7926.0047999999997</v>
      </c>
      <c r="H67" s="1612"/>
      <c r="I67" s="1605"/>
    </row>
    <row r="68" spans="1:10" s="385" customFormat="1" ht="12.75" customHeight="1">
      <c r="A68" s="1032" t="s">
        <v>1214</v>
      </c>
      <c r="B68" s="1032"/>
      <c r="C68" s="1503">
        <v>81483</v>
      </c>
      <c r="D68" s="1151"/>
      <c r="E68" s="483">
        <v>951.37</v>
      </c>
      <c r="F68" s="736"/>
      <c r="G68" s="483">
        <v>7472.0599800000018</v>
      </c>
      <c r="H68" s="1612"/>
      <c r="I68" s="1605"/>
    </row>
    <row r="69" spans="1:10" s="385" customFormat="1" ht="12.75" customHeight="1">
      <c r="A69" s="1160" t="s">
        <v>1207</v>
      </c>
      <c r="B69" s="1160"/>
      <c r="C69" s="1483">
        <v>68862</v>
      </c>
      <c r="D69" s="1161"/>
      <c r="E69" s="1162">
        <v>958.73</v>
      </c>
      <c r="F69" s="682"/>
      <c r="G69" s="531">
        <v>7555.0764716990006</v>
      </c>
      <c r="H69" s="1612"/>
      <c r="I69" s="1605"/>
    </row>
    <row r="70" spans="1:10" s="385" customFormat="1" ht="12.75" customHeight="1" thickBot="1">
      <c r="A70" s="1600" t="s">
        <v>1215</v>
      </c>
      <c r="B70" s="1600"/>
      <c r="C70" s="1601">
        <v>81434</v>
      </c>
      <c r="D70" s="1602"/>
      <c r="E70" s="1603">
        <v>1009.44</v>
      </c>
      <c r="F70" s="1604"/>
      <c r="G70" s="962">
        <v>7960.5661435999991</v>
      </c>
      <c r="H70" s="1612"/>
      <c r="I70" s="1605"/>
    </row>
    <row r="71" spans="1:10" s="376" customFormat="1" ht="10.5" customHeight="1">
      <c r="A71" s="366" t="s">
        <v>828</v>
      </c>
      <c r="B71" s="1966" t="s">
        <v>985</v>
      </c>
      <c r="C71" s="1966"/>
      <c r="D71" s="1966"/>
      <c r="E71" s="1966"/>
      <c r="F71" s="1966"/>
      <c r="G71" s="1966"/>
      <c r="I71" s="637"/>
      <c r="J71" s="637"/>
    </row>
    <row r="72" spans="1:10" s="376" customFormat="1" ht="8.1" customHeight="1">
      <c r="A72" s="268"/>
      <c r="B72" s="2153" t="s">
        <v>2808</v>
      </c>
      <c r="C72" s="2153"/>
      <c r="D72" s="2153"/>
      <c r="E72" s="2153"/>
      <c r="F72" s="2153"/>
      <c r="G72" s="2153"/>
    </row>
    <row r="73" spans="1:10" ht="9" customHeight="1">
      <c r="A73" s="366" t="s">
        <v>2155</v>
      </c>
      <c r="B73" s="1966" t="s">
        <v>2154</v>
      </c>
      <c r="C73" s="1966"/>
      <c r="D73" s="1966"/>
      <c r="E73" s="1966"/>
      <c r="F73" s="1966"/>
      <c r="G73" s="1966"/>
    </row>
    <row r="74" spans="1:10" ht="9.75" customHeight="1">
      <c r="A74" s="99"/>
      <c r="B74" s="1186"/>
      <c r="C74" s="1186"/>
      <c r="D74" s="1186"/>
      <c r="E74" s="1186"/>
      <c r="F74" s="1186"/>
      <c r="G74" s="1186"/>
    </row>
    <row r="75" spans="1:10">
      <c r="A75" s="99"/>
      <c r="B75" s="112"/>
      <c r="C75" s="112"/>
      <c r="D75" s="112"/>
    </row>
    <row r="76" spans="1:10">
      <c r="A76" s="99"/>
      <c r="B76" s="112"/>
      <c r="C76" s="112"/>
      <c r="D76" s="112"/>
    </row>
    <row r="77" spans="1:10">
      <c r="A77" s="99"/>
      <c r="B77" s="112"/>
      <c r="C77" s="112"/>
      <c r="D77" s="112"/>
      <c r="F77" s="1605"/>
    </row>
    <row r="78" spans="1:10">
      <c r="A78" s="99"/>
      <c r="B78" s="112"/>
      <c r="C78" s="112"/>
      <c r="D78" s="112"/>
      <c r="F78" s="1605"/>
    </row>
    <row r="79" spans="1:10">
      <c r="A79" s="99"/>
      <c r="B79" s="112"/>
      <c r="C79" s="1551"/>
      <c r="D79" s="112"/>
    </row>
    <row r="80" spans="1:10">
      <c r="A80" s="99"/>
      <c r="B80" s="112"/>
      <c r="C80" s="1551"/>
      <c r="D80" s="112"/>
    </row>
    <row r="81" spans="1:4">
      <c r="A81" s="99"/>
      <c r="B81" s="112"/>
      <c r="C81" s="1551"/>
      <c r="D81" s="112"/>
    </row>
    <row r="82" spans="1:4">
      <c r="A82" s="99"/>
      <c r="B82" s="112"/>
      <c r="C82" s="112"/>
      <c r="D82" s="112"/>
    </row>
    <row r="83" spans="1:4">
      <c r="A83" s="99"/>
      <c r="B83" s="112"/>
      <c r="C83" s="112"/>
      <c r="D83" s="112"/>
    </row>
    <row r="84" spans="1:4">
      <c r="A84" s="99"/>
      <c r="B84" s="112"/>
      <c r="C84" s="112"/>
      <c r="D84" s="112"/>
    </row>
    <row r="85" spans="1:4">
      <c r="A85" s="99"/>
      <c r="B85" s="112"/>
      <c r="C85" s="112"/>
      <c r="D85" s="112"/>
    </row>
    <row r="86" spans="1:4">
      <c r="A86" s="99"/>
      <c r="B86" s="112"/>
      <c r="C86" s="112"/>
      <c r="D86" s="112"/>
    </row>
    <row r="87" spans="1:4">
      <c r="A87" s="99"/>
      <c r="B87" s="112"/>
      <c r="C87" s="112"/>
      <c r="D87" s="112"/>
    </row>
    <row r="88" spans="1:4">
      <c r="A88" s="99"/>
      <c r="B88" s="112"/>
      <c r="C88" s="112"/>
      <c r="D88" s="112"/>
    </row>
    <row r="89" spans="1:4">
      <c r="A89" s="99"/>
      <c r="B89" s="112"/>
      <c r="C89" s="112"/>
      <c r="D89" s="112"/>
    </row>
    <row r="90" spans="1:4">
      <c r="A90" s="99"/>
      <c r="B90" s="112"/>
      <c r="C90" s="112"/>
      <c r="D90" s="112"/>
    </row>
    <row r="91" spans="1:4">
      <c r="A91" s="99"/>
      <c r="B91" s="112"/>
      <c r="C91" s="112"/>
      <c r="D91" s="112"/>
    </row>
    <row r="92" spans="1:4">
      <c r="A92" s="99"/>
      <c r="B92" s="112"/>
      <c r="C92" s="112"/>
      <c r="D92" s="112"/>
    </row>
    <row r="93" spans="1:4">
      <c r="A93" s="99"/>
      <c r="B93" s="112"/>
      <c r="C93" s="112"/>
      <c r="D93" s="112"/>
    </row>
    <row r="94" spans="1:4">
      <c r="A94" s="99"/>
      <c r="B94" s="112"/>
      <c r="C94" s="112"/>
      <c r="D94" s="112"/>
    </row>
    <row r="95" spans="1:4">
      <c r="A95" s="99"/>
      <c r="B95" s="112"/>
      <c r="C95" s="112"/>
      <c r="D95" s="112"/>
    </row>
    <row r="96" spans="1:4">
      <c r="A96" s="99"/>
      <c r="B96" s="112"/>
      <c r="C96" s="112"/>
      <c r="D96" s="112"/>
    </row>
    <row r="97" spans="1:4">
      <c r="A97" s="99"/>
      <c r="B97" s="112"/>
      <c r="C97" s="112"/>
      <c r="D97" s="112"/>
    </row>
    <row r="98" spans="1:4">
      <c r="A98" s="99"/>
      <c r="B98" s="112"/>
      <c r="C98" s="112"/>
      <c r="D98" s="112"/>
    </row>
    <row r="99" spans="1:4">
      <c r="A99" s="99"/>
      <c r="B99" s="112"/>
      <c r="C99" s="112"/>
      <c r="D99" s="112"/>
    </row>
    <row r="100" spans="1:4">
      <c r="A100" s="99"/>
      <c r="B100" s="112"/>
      <c r="C100" s="112"/>
      <c r="D100" s="112"/>
    </row>
    <row r="101" spans="1:4">
      <c r="A101" s="99"/>
      <c r="B101" s="112"/>
      <c r="C101" s="112"/>
      <c r="D101" s="112"/>
    </row>
    <row r="102" spans="1:4">
      <c r="A102" s="99"/>
      <c r="B102" s="112"/>
      <c r="C102" s="112"/>
      <c r="D102" s="112"/>
    </row>
    <row r="103" spans="1:4">
      <c r="A103" s="99"/>
      <c r="B103" s="112"/>
      <c r="C103" s="112"/>
      <c r="D103" s="112"/>
    </row>
    <row r="104" spans="1:4">
      <c r="A104" s="99"/>
      <c r="B104" s="112"/>
      <c r="C104" s="112"/>
      <c r="D104" s="112"/>
    </row>
    <row r="105" spans="1:4">
      <c r="A105" s="99"/>
      <c r="B105" s="112"/>
      <c r="C105" s="112"/>
      <c r="D105" s="112"/>
    </row>
    <row r="106" spans="1:4">
      <c r="A106" s="99"/>
      <c r="B106" s="112"/>
      <c r="C106" s="112"/>
      <c r="D106" s="112"/>
    </row>
    <row r="107" spans="1:4">
      <c r="A107" s="99"/>
      <c r="B107" s="112"/>
      <c r="C107" s="112"/>
      <c r="D107" s="112"/>
    </row>
    <row r="108" spans="1:4">
      <c r="A108" s="99"/>
      <c r="B108" s="112"/>
      <c r="C108" s="112"/>
      <c r="D108" s="112"/>
    </row>
    <row r="109" spans="1:4">
      <c r="A109" s="99"/>
      <c r="B109" s="112"/>
      <c r="C109" s="112"/>
      <c r="D109" s="112"/>
    </row>
    <row r="110" spans="1:4">
      <c r="A110" s="99"/>
      <c r="B110" s="112"/>
      <c r="C110" s="112"/>
      <c r="D110" s="112"/>
    </row>
    <row r="111" spans="1:4">
      <c r="A111" s="99"/>
      <c r="B111" s="112"/>
      <c r="C111" s="112"/>
      <c r="D111" s="112"/>
    </row>
    <row r="112" spans="1:4">
      <c r="A112" s="99"/>
      <c r="B112" s="112"/>
      <c r="C112" s="112"/>
      <c r="D112" s="112"/>
    </row>
    <row r="113" spans="1:4">
      <c r="A113" s="99"/>
      <c r="B113" s="112"/>
      <c r="C113" s="112"/>
      <c r="D113" s="112"/>
    </row>
    <row r="114" spans="1:4">
      <c r="A114" s="99"/>
      <c r="B114" s="112"/>
      <c r="C114" s="112"/>
      <c r="D114" s="112"/>
    </row>
    <row r="115" spans="1:4">
      <c r="A115" s="99"/>
      <c r="B115" s="112"/>
      <c r="C115" s="112"/>
      <c r="D115" s="112"/>
    </row>
    <row r="116" spans="1:4">
      <c r="A116" s="99"/>
      <c r="B116" s="112"/>
      <c r="C116" s="112"/>
      <c r="D116" s="112"/>
    </row>
    <row r="117" spans="1:4">
      <c r="A117" s="99"/>
      <c r="B117" s="112"/>
      <c r="C117" s="112"/>
      <c r="D117" s="112"/>
    </row>
    <row r="118" spans="1:4">
      <c r="A118" s="99"/>
      <c r="B118" s="112"/>
      <c r="C118" s="112"/>
      <c r="D118" s="112"/>
    </row>
    <row r="119" spans="1:4">
      <c r="A119" s="99"/>
      <c r="B119" s="112"/>
      <c r="C119" s="112"/>
      <c r="D119" s="112"/>
    </row>
    <row r="120" spans="1:4">
      <c r="A120" s="99"/>
      <c r="B120" s="112"/>
      <c r="C120" s="112"/>
      <c r="D120" s="112"/>
    </row>
    <row r="121" spans="1:4">
      <c r="A121" s="99"/>
      <c r="B121" s="112"/>
      <c r="C121" s="112"/>
      <c r="D121" s="112"/>
    </row>
    <row r="122" spans="1:4">
      <c r="A122" s="99"/>
      <c r="B122" s="112"/>
      <c r="C122" s="112"/>
      <c r="D122" s="112"/>
    </row>
    <row r="123" spans="1:4">
      <c r="A123" s="99"/>
      <c r="B123" s="112"/>
      <c r="C123" s="112"/>
      <c r="D123" s="112"/>
    </row>
    <row r="124" spans="1:4">
      <c r="A124" s="99"/>
      <c r="B124" s="112"/>
      <c r="C124" s="112"/>
      <c r="D124" s="112"/>
    </row>
    <row r="125" spans="1:4">
      <c r="A125" s="99"/>
      <c r="B125" s="112"/>
      <c r="C125" s="112"/>
      <c r="D125" s="112"/>
    </row>
    <row r="126" spans="1:4">
      <c r="A126" s="99"/>
      <c r="B126" s="112"/>
      <c r="C126" s="112"/>
      <c r="D126" s="112"/>
    </row>
    <row r="127" spans="1:4">
      <c r="A127" s="99"/>
      <c r="B127" s="112"/>
      <c r="C127" s="112"/>
      <c r="D127" s="112"/>
    </row>
    <row r="128" spans="1:4">
      <c r="A128" s="99"/>
      <c r="B128" s="112"/>
      <c r="C128" s="112"/>
      <c r="D128" s="112"/>
    </row>
    <row r="129" spans="1:4">
      <c r="A129" s="99"/>
      <c r="B129" s="112"/>
      <c r="C129" s="112"/>
      <c r="D129" s="112"/>
    </row>
    <row r="130" spans="1:4">
      <c r="A130" s="99"/>
      <c r="B130" s="112"/>
      <c r="C130" s="112"/>
      <c r="D130" s="112"/>
    </row>
    <row r="131" spans="1:4">
      <c r="A131" s="99"/>
      <c r="B131" s="112"/>
      <c r="C131" s="112"/>
      <c r="D131" s="112"/>
    </row>
    <row r="132" spans="1:4">
      <c r="A132" s="99"/>
      <c r="B132" s="112"/>
      <c r="C132" s="112"/>
      <c r="D132" s="112"/>
    </row>
  </sheetData>
  <mergeCells count="8">
    <mergeCell ref="B73:G73"/>
    <mergeCell ref="A1:F1"/>
    <mergeCell ref="B72:G72"/>
    <mergeCell ref="B71:G71"/>
    <mergeCell ref="E2:G2"/>
    <mergeCell ref="A2:B3"/>
    <mergeCell ref="C2:D3"/>
    <mergeCell ref="E3:F3"/>
  </mergeCells>
  <phoneticPr fontId="0" type="noConversion"/>
  <printOptions horizontalCentered="1"/>
  <pageMargins left="0.23622047244094499" right="0.196850393700787" top="0.511811023622047" bottom="0.511811023622047" header="0" footer="0.35433070866141703"/>
  <pageSetup paperSize="512" firstPageNumber="83" orientation="portrait" useFirstPageNumber="1" r:id="rId1"/>
  <headerFooter alignWithMargins="0">
    <oddFooter>&amp;C&amp;"Times New Roman,Regular"&amp;8&amp;P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Y405"/>
  <sheetViews>
    <sheetView zoomScale="140" zoomScaleNormal="140" workbookViewId="0">
      <pane xSplit="1" ySplit="3" topLeftCell="L55" activePane="bottomRight" state="frozen"/>
      <selection pane="topRight" activeCell="B1" sqref="B1"/>
      <selection pane="bottomLeft" activeCell="A4" sqref="A4"/>
      <selection pane="bottomRight" activeCell="P75" sqref="P75"/>
    </sheetView>
  </sheetViews>
  <sheetFormatPr defaultColWidth="9.140625" defaultRowHeight="11.25"/>
  <cols>
    <col min="1" max="1" width="8.5703125" style="10" customWidth="1"/>
    <col min="2" max="11" width="7.5703125" style="10" customWidth="1"/>
    <col min="12" max="12" width="6.85546875" style="10" customWidth="1"/>
    <col min="13" max="13" width="6" style="10" customWidth="1"/>
    <col min="14" max="14" width="6.7109375" style="10" customWidth="1"/>
    <col min="15" max="16" width="7.5703125" style="10" customWidth="1"/>
    <col min="17" max="17" width="7.140625" style="10" customWidth="1"/>
    <col min="18" max="18" width="7.5703125" style="10" customWidth="1"/>
    <col min="19" max="19" width="6.85546875" style="10" customWidth="1"/>
    <col min="20" max="20" width="7.5703125" style="10" customWidth="1"/>
    <col min="21" max="21" width="7.85546875" style="10" customWidth="1"/>
    <col min="22" max="23" width="9.28515625" style="10" bestFit="1" customWidth="1"/>
    <col min="24" max="24" width="10" style="10" bestFit="1" customWidth="1"/>
    <col min="25" max="16384" width="9.140625" style="10"/>
  </cols>
  <sheetData>
    <row r="1" spans="1:24" s="34" customFormat="1" ht="14.25" customHeight="1">
      <c r="A1" s="1972" t="s">
        <v>986</v>
      </c>
      <c r="B1" s="1972"/>
      <c r="C1" s="1972"/>
      <c r="D1" s="1972"/>
      <c r="E1" s="1972"/>
      <c r="F1" s="1972"/>
      <c r="G1" s="1972"/>
      <c r="H1" s="1972"/>
      <c r="I1" s="1972"/>
      <c r="J1" s="1972"/>
      <c r="K1" s="358" t="s">
        <v>901</v>
      </c>
      <c r="L1" s="95"/>
      <c r="M1" s="95"/>
      <c r="N1" s="95"/>
      <c r="O1" s="81"/>
      <c r="P1" s="81"/>
      <c r="Q1" s="81"/>
      <c r="R1" s="81"/>
      <c r="S1" s="81"/>
      <c r="T1" s="1972" t="s">
        <v>2458</v>
      </c>
      <c r="U1" s="1972"/>
    </row>
    <row r="2" spans="1:24" s="57" customFormat="1" ht="12" customHeight="1">
      <c r="B2" s="15"/>
      <c r="C2" s="15"/>
      <c r="D2" s="15"/>
      <c r="E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990" t="s">
        <v>42</v>
      </c>
      <c r="U2" s="1990"/>
    </row>
    <row r="3" spans="1:24" s="336" customFormat="1" ht="27" customHeight="1">
      <c r="A3" s="136" t="s">
        <v>1132</v>
      </c>
      <c r="B3" s="29" t="s">
        <v>179</v>
      </c>
      <c r="C3" s="29" t="s">
        <v>180</v>
      </c>
      <c r="D3" s="29" t="s">
        <v>181</v>
      </c>
      <c r="E3" s="29" t="s">
        <v>182</v>
      </c>
      <c r="F3" s="29" t="s">
        <v>183</v>
      </c>
      <c r="G3" s="29" t="s">
        <v>184</v>
      </c>
      <c r="H3" s="29" t="s">
        <v>185</v>
      </c>
      <c r="I3" s="29" t="s">
        <v>186</v>
      </c>
      <c r="J3" s="29" t="s">
        <v>187</v>
      </c>
      <c r="K3" s="29" t="s">
        <v>188</v>
      </c>
      <c r="L3" s="29" t="s">
        <v>189</v>
      </c>
      <c r="M3" s="29" t="s">
        <v>190</v>
      </c>
      <c r="N3" s="29" t="s">
        <v>191</v>
      </c>
      <c r="O3" s="29" t="s">
        <v>1165</v>
      </c>
      <c r="P3" s="89" t="s">
        <v>1187</v>
      </c>
      <c r="Q3" s="89" t="s">
        <v>1575</v>
      </c>
      <c r="R3" s="89" t="s">
        <v>1581</v>
      </c>
      <c r="S3" s="89" t="s">
        <v>1576</v>
      </c>
      <c r="T3" s="29" t="s">
        <v>192</v>
      </c>
      <c r="U3" s="29" t="s">
        <v>1128</v>
      </c>
    </row>
    <row r="4" spans="1:24" ht="11.1" hidden="1" customHeight="1">
      <c r="A4" s="1083" t="s">
        <v>1194</v>
      </c>
      <c r="B4" s="1078">
        <v>1772.22</v>
      </c>
      <c r="C4" s="1078">
        <v>352.32</v>
      </c>
      <c r="D4" s="1078">
        <v>193.92</v>
      </c>
      <c r="E4" s="1078">
        <v>740.9</v>
      </c>
      <c r="F4" s="1078">
        <v>314.7</v>
      </c>
      <c r="G4" s="1078">
        <v>7.61</v>
      </c>
      <c r="H4" s="1078">
        <v>224.6</v>
      </c>
      <c r="I4" s="1078">
        <v>292.19</v>
      </c>
      <c r="J4" s="1078">
        <v>9.2799999999999994</v>
      </c>
      <c r="K4" s="1078">
        <v>49.84</v>
      </c>
      <c r="L4" s="1078">
        <v>106.72</v>
      </c>
      <c r="M4" s="1078">
        <v>2.1800000000000002</v>
      </c>
      <c r="N4" s="1078">
        <v>126.21</v>
      </c>
      <c r="O4" s="1078">
        <v>40.840000000000003</v>
      </c>
      <c r="P4" s="1078" t="s">
        <v>836</v>
      </c>
      <c r="Q4" s="1078" t="s">
        <v>836</v>
      </c>
      <c r="R4" s="1078" t="s">
        <v>836</v>
      </c>
      <c r="S4" s="1078" t="s">
        <v>836</v>
      </c>
      <c r="T4" s="1078">
        <v>121.37</v>
      </c>
      <c r="U4" s="1078">
        <f t="shared" ref="U4:U24" si="0">SUM(B4:T4)</f>
        <v>4354.8999999999996</v>
      </c>
    </row>
    <row r="5" spans="1:24" ht="11.1" customHeight="1">
      <c r="A5" s="1070" t="s">
        <v>1195</v>
      </c>
      <c r="B5" s="1076">
        <v>1917.02</v>
      </c>
      <c r="C5" s="1076">
        <v>326.99</v>
      </c>
      <c r="D5" s="1076">
        <v>189.02</v>
      </c>
      <c r="E5" s="1076">
        <v>702.37</v>
      </c>
      <c r="F5" s="1076">
        <v>410.94</v>
      </c>
      <c r="G5" s="1076">
        <v>4.0999999999999996</v>
      </c>
      <c r="H5" s="1076">
        <v>290.16000000000003</v>
      </c>
      <c r="I5" s="1076">
        <v>326.70999999999998</v>
      </c>
      <c r="J5" s="1076">
        <v>12.18</v>
      </c>
      <c r="K5" s="1076">
        <v>32.36</v>
      </c>
      <c r="L5" s="1076">
        <v>135.51</v>
      </c>
      <c r="M5" s="1076">
        <v>1.25</v>
      </c>
      <c r="N5" s="1076">
        <v>126.31</v>
      </c>
      <c r="O5" s="1076">
        <v>201</v>
      </c>
      <c r="P5" s="1076" t="s">
        <v>836</v>
      </c>
      <c r="Q5" s="1076" t="s">
        <v>836</v>
      </c>
      <c r="R5" s="1076" t="s">
        <v>836</v>
      </c>
      <c r="S5" s="1076" t="s">
        <v>836</v>
      </c>
      <c r="T5" s="1076">
        <v>138.55000000000001</v>
      </c>
      <c r="U5" s="1076">
        <f>SUM(B5:T5)</f>
        <v>4814.47</v>
      </c>
      <c r="V5" s="135"/>
      <c r="W5" s="135"/>
    </row>
    <row r="6" spans="1:24" ht="11.1" customHeight="1">
      <c r="A6" s="1083" t="s">
        <v>1196</v>
      </c>
      <c r="B6" s="1078">
        <v>2034.65</v>
      </c>
      <c r="C6" s="1078">
        <v>341.83</v>
      </c>
      <c r="D6" s="1078">
        <v>168.59</v>
      </c>
      <c r="E6" s="1078">
        <v>711.72</v>
      </c>
      <c r="F6" s="1078">
        <v>471.13</v>
      </c>
      <c r="G6" s="1078">
        <v>0.69</v>
      </c>
      <c r="H6" s="1078">
        <v>217.6</v>
      </c>
      <c r="I6" s="1078">
        <v>333.7</v>
      </c>
      <c r="J6" s="1078">
        <v>16.3</v>
      </c>
      <c r="K6" s="1078">
        <v>20.13</v>
      </c>
      <c r="L6" s="1078">
        <v>122.85</v>
      </c>
      <c r="M6" s="1078">
        <v>0.25</v>
      </c>
      <c r="N6" s="1078">
        <v>93.89</v>
      </c>
      <c r="O6" s="1078">
        <v>303.61</v>
      </c>
      <c r="P6" s="1078" t="s">
        <v>836</v>
      </c>
      <c r="Q6" s="1078" t="s">
        <v>836</v>
      </c>
      <c r="R6" s="1078" t="s">
        <v>836</v>
      </c>
      <c r="S6" s="1078" t="s">
        <v>836</v>
      </c>
      <c r="T6" s="1078">
        <v>133.1</v>
      </c>
      <c r="U6" s="1078">
        <f t="shared" si="0"/>
        <v>4970.0400000000009</v>
      </c>
      <c r="V6" s="135"/>
      <c r="W6" s="135"/>
    </row>
    <row r="7" spans="1:24" ht="11.1" customHeight="1">
      <c r="A7" s="1070" t="s">
        <v>1197</v>
      </c>
      <c r="B7" s="1076">
        <v>2510.0300000000002</v>
      </c>
      <c r="C7" s="1076">
        <v>382.44</v>
      </c>
      <c r="D7" s="1076">
        <v>239.91</v>
      </c>
      <c r="E7" s="1076">
        <v>903.3</v>
      </c>
      <c r="F7" s="1076">
        <v>673.14</v>
      </c>
      <c r="G7" s="1076">
        <v>1.91</v>
      </c>
      <c r="H7" s="1076">
        <v>226.74</v>
      </c>
      <c r="I7" s="1076">
        <v>403.23</v>
      </c>
      <c r="J7" s="1076">
        <v>28.44</v>
      </c>
      <c r="K7" s="1076">
        <v>13.16</v>
      </c>
      <c r="L7" s="1076">
        <v>134.55000000000001</v>
      </c>
      <c r="M7" s="1076">
        <v>1.92</v>
      </c>
      <c r="N7" s="1076">
        <v>109.25</v>
      </c>
      <c r="O7" s="1076">
        <v>404.53</v>
      </c>
      <c r="P7" s="1076" t="s">
        <v>836</v>
      </c>
      <c r="Q7" s="1076" t="s">
        <v>836</v>
      </c>
      <c r="R7" s="1076" t="s">
        <v>836</v>
      </c>
      <c r="S7" s="1076" t="s">
        <v>836</v>
      </c>
      <c r="T7" s="1076">
        <v>267.49</v>
      </c>
      <c r="U7" s="1076">
        <f t="shared" si="0"/>
        <v>6300.04</v>
      </c>
      <c r="V7" s="135"/>
      <c r="W7" s="135"/>
      <c r="X7" s="135"/>
    </row>
    <row r="8" spans="1:24" ht="11.1" customHeight="1">
      <c r="A8" s="1083" t="s">
        <v>1198</v>
      </c>
      <c r="B8" s="1078">
        <v>2674.6</v>
      </c>
      <c r="C8" s="1078">
        <v>486.17</v>
      </c>
      <c r="D8" s="1078">
        <v>298.39</v>
      </c>
      <c r="E8" s="1078">
        <v>969.05</v>
      </c>
      <c r="F8" s="1078">
        <v>922.37</v>
      </c>
      <c r="G8" s="1078">
        <v>2.4</v>
      </c>
      <c r="H8" s="1078">
        <v>262.58999999999997</v>
      </c>
      <c r="I8" s="1078">
        <v>400.88</v>
      </c>
      <c r="J8" s="1078">
        <v>35.15</v>
      </c>
      <c r="K8" s="1078">
        <v>11.37</v>
      </c>
      <c r="L8" s="1078">
        <v>147.21</v>
      </c>
      <c r="M8" s="1078">
        <v>4.13</v>
      </c>
      <c r="N8" s="1078">
        <v>91.09</v>
      </c>
      <c r="O8" s="1078">
        <v>353.31</v>
      </c>
      <c r="P8" s="1078" t="s">
        <v>836</v>
      </c>
      <c r="Q8" s="1078" t="s">
        <v>836</v>
      </c>
      <c r="R8" s="1078" t="s">
        <v>836</v>
      </c>
      <c r="S8" s="1078" t="s">
        <v>836</v>
      </c>
      <c r="T8" s="1078">
        <v>275.89</v>
      </c>
      <c r="U8" s="1078">
        <f t="shared" si="0"/>
        <v>6934.6</v>
      </c>
      <c r="V8" s="135"/>
      <c r="W8" s="135"/>
      <c r="X8" s="135"/>
    </row>
    <row r="9" spans="1:24" ht="11.1" customHeight="1">
      <c r="A9" s="1070" t="s">
        <v>1199</v>
      </c>
      <c r="B9" s="1076">
        <v>3294.46</v>
      </c>
      <c r="C9" s="1076">
        <v>602.38</v>
      </c>
      <c r="D9" s="1076">
        <v>259.72000000000003</v>
      </c>
      <c r="E9" s="1076">
        <v>1106.44</v>
      </c>
      <c r="F9" s="1076">
        <v>1150.5999999999999</v>
      </c>
      <c r="G9" s="1076">
        <v>0.67</v>
      </c>
      <c r="H9" s="1076">
        <v>307.3</v>
      </c>
      <c r="I9" s="1076">
        <v>441.82</v>
      </c>
      <c r="J9" s="1076">
        <v>62.81</v>
      </c>
      <c r="K9" s="1076">
        <v>24.7</v>
      </c>
      <c r="L9" s="1076">
        <v>187.15</v>
      </c>
      <c r="M9" s="1076">
        <v>0.91</v>
      </c>
      <c r="N9" s="1076">
        <v>190.45</v>
      </c>
      <c r="O9" s="1076">
        <v>324.5</v>
      </c>
      <c r="P9" s="1076" t="s">
        <v>836</v>
      </c>
      <c r="Q9" s="1076" t="s">
        <v>836</v>
      </c>
      <c r="R9" s="1076" t="s">
        <v>836</v>
      </c>
      <c r="S9" s="1076" t="s">
        <v>836</v>
      </c>
      <c r="T9" s="1076">
        <v>243.87</v>
      </c>
      <c r="U9" s="1076">
        <f t="shared" si="0"/>
        <v>8197.7800000000007</v>
      </c>
      <c r="V9" s="135"/>
      <c r="W9" s="135"/>
      <c r="X9" s="135"/>
    </row>
    <row r="10" spans="1:24" ht="11.1" customHeight="1">
      <c r="A10" s="1083" t="s">
        <v>1200</v>
      </c>
      <c r="B10" s="1078">
        <v>4608.4399999999996</v>
      </c>
      <c r="C10" s="1078">
        <v>653.32000000000005</v>
      </c>
      <c r="D10" s="1078">
        <v>361.18</v>
      </c>
      <c r="E10" s="1078">
        <v>1232.55</v>
      </c>
      <c r="F10" s="1078">
        <v>1213.98</v>
      </c>
      <c r="G10" s="1078">
        <v>0.2</v>
      </c>
      <c r="H10" s="1078">
        <v>320.62</v>
      </c>
      <c r="I10" s="1078">
        <v>467.93</v>
      </c>
      <c r="J10" s="1078">
        <v>58.51</v>
      </c>
      <c r="K10" s="1078">
        <v>23.65</v>
      </c>
      <c r="L10" s="1078">
        <v>210.3</v>
      </c>
      <c r="M10" s="1078">
        <v>0</v>
      </c>
      <c r="N10" s="1078">
        <v>173.87</v>
      </c>
      <c r="O10" s="1078">
        <v>271.88</v>
      </c>
      <c r="P10" s="1078" t="s">
        <v>836</v>
      </c>
      <c r="Q10" s="1078" t="s">
        <v>836</v>
      </c>
      <c r="R10" s="1078" t="s">
        <v>836</v>
      </c>
      <c r="S10" s="1078" t="s">
        <v>836</v>
      </c>
      <c r="T10" s="1078">
        <v>210.6</v>
      </c>
      <c r="U10" s="1078">
        <f t="shared" si="0"/>
        <v>9807.0299999999988</v>
      </c>
      <c r="V10" s="135"/>
      <c r="W10" s="135"/>
      <c r="X10" s="135"/>
    </row>
    <row r="11" spans="1:24" ht="11.1" customHeight="1">
      <c r="A11" s="1070" t="s">
        <v>1201</v>
      </c>
      <c r="B11" s="1076">
        <v>4972.7</v>
      </c>
      <c r="C11" s="1076">
        <v>779.39</v>
      </c>
      <c r="D11" s="1076">
        <v>300.98</v>
      </c>
      <c r="E11" s="1076">
        <v>1336.39</v>
      </c>
      <c r="F11" s="1076">
        <v>1218.1500000000001</v>
      </c>
      <c r="G11" s="1076">
        <v>0.53</v>
      </c>
      <c r="H11" s="1076">
        <v>342.41</v>
      </c>
      <c r="I11" s="1076">
        <v>451.66</v>
      </c>
      <c r="J11" s="1076">
        <v>42.2</v>
      </c>
      <c r="K11" s="1076">
        <v>20.8</v>
      </c>
      <c r="L11" s="1076">
        <v>237.97</v>
      </c>
      <c r="M11" s="1076">
        <v>0</v>
      </c>
      <c r="N11" s="1076">
        <v>58.69</v>
      </c>
      <c r="O11" s="1076">
        <v>164.69</v>
      </c>
      <c r="P11" s="1076" t="s">
        <v>836</v>
      </c>
      <c r="Q11" s="1076" t="s">
        <v>836</v>
      </c>
      <c r="R11" s="1076" t="s">
        <v>836</v>
      </c>
      <c r="S11" s="1076" t="s">
        <v>836</v>
      </c>
      <c r="T11" s="1076">
        <v>243.45</v>
      </c>
      <c r="U11" s="1076">
        <f t="shared" si="0"/>
        <v>10170.010000000002</v>
      </c>
      <c r="V11" s="135"/>
      <c r="W11" s="135"/>
      <c r="X11" s="135"/>
    </row>
    <row r="12" spans="1:24" ht="11.1" customHeight="1">
      <c r="A12" s="1083" t="s">
        <v>1202</v>
      </c>
      <c r="B12" s="1078">
        <v>6598.68</v>
      </c>
      <c r="C12" s="1078">
        <v>1311.63</v>
      </c>
      <c r="D12" s="1078">
        <v>595.02</v>
      </c>
      <c r="E12" s="1078">
        <v>1642.34</v>
      </c>
      <c r="F12" s="1078">
        <v>2048.2399999999998</v>
      </c>
      <c r="G12" s="1078">
        <v>0</v>
      </c>
      <c r="H12" s="1078">
        <v>520.63</v>
      </c>
      <c r="I12" s="1078">
        <v>593.49</v>
      </c>
      <c r="J12" s="1078">
        <v>82.05</v>
      </c>
      <c r="K12" s="1078">
        <v>35.1</v>
      </c>
      <c r="L12" s="1078">
        <v>310.93</v>
      </c>
      <c r="M12" s="1078">
        <v>0</v>
      </c>
      <c r="N12" s="1078">
        <v>81.2</v>
      </c>
      <c r="O12" s="1078">
        <v>269.44</v>
      </c>
      <c r="P12" s="1078">
        <v>13.094039999999998</v>
      </c>
      <c r="Q12" s="1078">
        <v>2.0100500000000001</v>
      </c>
      <c r="R12" s="1078">
        <v>4.5369700000000002</v>
      </c>
      <c r="S12" s="1078">
        <v>22.914570000000001</v>
      </c>
      <c r="T12" s="1079">
        <f>216.10909+16.57</f>
        <v>232.67909</v>
      </c>
      <c r="U12" s="1079">
        <f t="shared" si="0"/>
        <v>14363.98472</v>
      </c>
      <c r="V12" s="135"/>
      <c r="W12" s="135"/>
      <c r="X12" s="135"/>
    </row>
    <row r="13" spans="1:24" ht="11.1" customHeight="1">
      <c r="A13" s="1070" t="s">
        <v>1203</v>
      </c>
      <c r="B13" s="1076">
        <v>7262.45</v>
      </c>
      <c r="C13" s="1076">
        <v>1895.65</v>
      </c>
      <c r="D13" s="1076">
        <v>1275.08</v>
      </c>
      <c r="E13" s="1076">
        <v>1960.44</v>
      </c>
      <c r="F13" s="1076">
        <v>2652.1</v>
      </c>
      <c r="G13" s="1076">
        <v>0.96</v>
      </c>
      <c r="H13" s="1076">
        <v>657.46</v>
      </c>
      <c r="I13" s="1076">
        <v>660.42</v>
      </c>
      <c r="J13" s="1076">
        <v>179.84</v>
      </c>
      <c r="K13" s="1076">
        <v>55.41</v>
      </c>
      <c r="L13" s="1076">
        <v>368.93</v>
      </c>
      <c r="M13" s="1076">
        <v>1.28</v>
      </c>
      <c r="N13" s="1076">
        <v>105.6</v>
      </c>
      <c r="O13" s="1076">
        <v>239.75</v>
      </c>
      <c r="P13" s="1076">
        <v>19.5702</v>
      </c>
      <c r="Q13" s="1076">
        <v>111.86279999999999</v>
      </c>
      <c r="R13" s="1076">
        <v>22.7547</v>
      </c>
      <c r="S13" s="1076">
        <v>27.618299999999998</v>
      </c>
      <c r="T13" s="1080">
        <v>231.63</v>
      </c>
      <c r="U13" s="1076">
        <f t="shared" si="0"/>
        <v>17728.805999999993</v>
      </c>
      <c r="V13" s="135"/>
      <c r="W13" s="135"/>
      <c r="X13" s="135"/>
    </row>
    <row r="14" spans="1:24" ht="11.1" customHeight="1">
      <c r="A14" s="1083" t="s">
        <v>1204</v>
      </c>
      <c r="B14" s="1078">
        <v>8169.26</v>
      </c>
      <c r="C14" s="1078">
        <v>2201.17</v>
      </c>
      <c r="D14" s="1078">
        <v>1753.7</v>
      </c>
      <c r="E14" s="1078">
        <v>2129.15</v>
      </c>
      <c r="F14" s="1078">
        <v>2757.27</v>
      </c>
      <c r="G14" s="1078">
        <v>0.77</v>
      </c>
      <c r="H14" s="1078">
        <v>669.79</v>
      </c>
      <c r="I14" s="1078">
        <v>698.62</v>
      </c>
      <c r="J14" s="1078">
        <v>190.79</v>
      </c>
      <c r="K14" s="1078">
        <v>71.44</v>
      </c>
      <c r="L14" s="1078">
        <v>360.18</v>
      </c>
      <c r="M14" s="1078">
        <v>2.2400000000000002</v>
      </c>
      <c r="N14" s="1078">
        <v>110.39</v>
      </c>
      <c r="O14" s="1078">
        <v>218.43</v>
      </c>
      <c r="P14" s="1078">
        <v>28.232259999999997</v>
      </c>
      <c r="Q14" s="1078">
        <v>160.08103999999997</v>
      </c>
      <c r="R14" s="1078">
        <v>30.589859999999998</v>
      </c>
      <c r="S14" s="1078">
        <v>34.892479999999999</v>
      </c>
      <c r="T14" s="1079">
        <v>287.39143999999999</v>
      </c>
      <c r="U14" s="1079">
        <f t="shared" si="0"/>
        <v>19874.38708</v>
      </c>
      <c r="V14" s="135"/>
      <c r="W14" s="135"/>
      <c r="X14" s="135"/>
    </row>
    <row r="15" spans="1:24" ht="11.1" customHeight="1">
      <c r="A15" s="1070" t="s">
        <v>1205</v>
      </c>
      <c r="B15" s="1076">
        <v>9291.27</v>
      </c>
      <c r="C15" s="1076">
        <v>2721.92</v>
      </c>
      <c r="D15" s="1076">
        <v>2311.6</v>
      </c>
      <c r="E15" s="1076">
        <v>2499.3200000000002</v>
      </c>
      <c r="F15" s="1076">
        <v>3430.3</v>
      </c>
      <c r="G15" s="1076">
        <v>1.66</v>
      </c>
      <c r="H15" s="1076">
        <v>837.54</v>
      </c>
      <c r="I15" s="1076">
        <v>806.69</v>
      </c>
      <c r="J15" s="1076">
        <v>294.81</v>
      </c>
      <c r="K15" s="1076">
        <v>62.2</v>
      </c>
      <c r="L15" s="1076">
        <v>412.59</v>
      </c>
      <c r="M15" s="1076">
        <v>3.21</v>
      </c>
      <c r="N15" s="1076">
        <v>97.43</v>
      </c>
      <c r="O15" s="1076">
        <v>156.49</v>
      </c>
      <c r="P15" s="1076">
        <v>43.89385</v>
      </c>
      <c r="Q15" s="1076">
        <v>254.03182000000001</v>
      </c>
      <c r="R15" s="1076">
        <v>113.01899</v>
      </c>
      <c r="S15" s="1076">
        <v>34.562570000000001</v>
      </c>
      <c r="T15" s="1080">
        <f>295.59285-43.48</f>
        <v>252.11285000000001</v>
      </c>
      <c r="U15" s="1076">
        <f t="shared" si="0"/>
        <v>23624.650080000003</v>
      </c>
      <c r="V15" s="135"/>
      <c r="W15" s="135"/>
      <c r="X15" s="135"/>
    </row>
    <row r="16" spans="1:24" ht="11.1" customHeight="1">
      <c r="A16" s="1083" t="s">
        <v>1210</v>
      </c>
      <c r="B16" s="1078">
        <v>11385.21</v>
      </c>
      <c r="C16" s="1078">
        <v>3776.3</v>
      </c>
      <c r="D16" s="1078">
        <v>3752.95</v>
      </c>
      <c r="E16" s="1078">
        <v>3326.33</v>
      </c>
      <c r="F16" s="1078">
        <v>5105.8599999999997</v>
      </c>
      <c r="G16" s="1078">
        <v>1.22</v>
      </c>
      <c r="H16" s="1078">
        <v>1179.24</v>
      </c>
      <c r="I16" s="1078">
        <v>1109.99</v>
      </c>
      <c r="J16" s="1078">
        <v>436.3</v>
      </c>
      <c r="K16" s="1078">
        <v>79.97</v>
      </c>
      <c r="L16" s="1078">
        <v>451.35</v>
      </c>
      <c r="M16" s="1078">
        <v>11.94</v>
      </c>
      <c r="N16" s="1078">
        <v>63.43</v>
      </c>
      <c r="O16" s="1078">
        <v>140.26</v>
      </c>
      <c r="P16" s="1078">
        <v>64.598039999999997</v>
      </c>
      <c r="Q16" s="1078">
        <v>556.62983999999994</v>
      </c>
      <c r="R16" s="1078">
        <v>116.98751999999999</v>
      </c>
      <c r="S16" s="1078">
        <v>38.906399999999998</v>
      </c>
      <c r="T16" s="1079">
        <v>617.09819999999695</v>
      </c>
      <c r="U16" s="1079">
        <f t="shared" si="0"/>
        <v>32214.57</v>
      </c>
      <c r="V16" s="135"/>
      <c r="W16" s="135"/>
      <c r="X16" s="135"/>
    </row>
    <row r="17" spans="1:25" ht="11.1" customHeight="1">
      <c r="A17" s="1070" t="s">
        <v>1219</v>
      </c>
      <c r="B17" s="1076">
        <v>11978.880000000001</v>
      </c>
      <c r="C17" s="1076">
        <v>5560.5599999999995</v>
      </c>
      <c r="D17" s="1076">
        <v>6132.91</v>
      </c>
      <c r="E17" s="1076">
        <v>4701.4799999999996</v>
      </c>
      <c r="F17" s="1076">
        <v>6423.1699999999992</v>
      </c>
      <c r="G17" s="1076">
        <v>18.000000000000004</v>
      </c>
      <c r="H17" s="1076">
        <v>1610.4599999999998</v>
      </c>
      <c r="I17" s="1076">
        <v>1357.48</v>
      </c>
      <c r="J17" s="1076">
        <v>554.64</v>
      </c>
      <c r="K17" s="1076">
        <v>103.01</v>
      </c>
      <c r="L17" s="1076">
        <v>552.12</v>
      </c>
      <c r="M17" s="1076">
        <v>16.299999999999997</v>
      </c>
      <c r="N17" s="1076">
        <v>70.27</v>
      </c>
      <c r="O17" s="1076">
        <v>81.800000000000011</v>
      </c>
      <c r="P17" s="1076">
        <v>78.380510000000001</v>
      </c>
      <c r="Q17" s="1076">
        <v>1034.41122</v>
      </c>
      <c r="R17" s="1076">
        <v>118.11586</v>
      </c>
      <c r="S17" s="1076">
        <v>42.44323</v>
      </c>
      <c r="T17" s="1080">
        <v>864.11</v>
      </c>
      <c r="U17" s="1076">
        <f t="shared" si="0"/>
        <v>41298.540820000009</v>
      </c>
      <c r="V17" s="898"/>
      <c r="W17" s="135"/>
      <c r="X17" s="135"/>
    </row>
    <row r="18" spans="1:25" s="468" customFormat="1" ht="11.1" customHeight="1">
      <c r="A18" s="1084" t="s">
        <v>916</v>
      </c>
      <c r="B18" s="1081">
        <v>15943.64</v>
      </c>
      <c r="C18" s="1081">
        <v>7786.82</v>
      </c>
      <c r="D18" s="1081">
        <v>6148.16</v>
      </c>
      <c r="E18" s="1081">
        <v>5925.33</v>
      </c>
      <c r="F18" s="1081">
        <v>9467.07</v>
      </c>
      <c r="G18" s="1081">
        <v>2.48</v>
      </c>
      <c r="H18" s="1081">
        <v>1988.05</v>
      </c>
      <c r="I18" s="1081">
        <v>1513.8</v>
      </c>
      <c r="J18" s="1081">
        <v>892.49</v>
      </c>
      <c r="K18" s="1081">
        <v>184.32</v>
      </c>
      <c r="L18" s="1081">
        <v>948.03</v>
      </c>
      <c r="M18" s="1081">
        <v>22.22</v>
      </c>
      <c r="N18" s="1081">
        <v>111.74</v>
      </c>
      <c r="O18" s="1081">
        <v>633.86</v>
      </c>
      <c r="P18" s="1079">
        <v>89.934599999999989</v>
      </c>
      <c r="Q18" s="1079">
        <v>1471.1956</v>
      </c>
      <c r="R18" s="1079">
        <v>135.07339999999999</v>
      </c>
      <c r="S18" s="1079">
        <v>55.565999999999995</v>
      </c>
      <c r="T18" s="1081">
        <v>975.38</v>
      </c>
      <c r="U18" s="1081">
        <f t="shared" si="0"/>
        <v>54295.159599999999</v>
      </c>
      <c r="V18" s="135"/>
      <c r="W18" s="135"/>
      <c r="X18" s="135"/>
    </row>
    <row r="19" spans="1:25" s="468" customFormat="1" ht="11.1" customHeight="1">
      <c r="A19" s="1085" t="s">
        <v>230</v>
      </c>
      <c r="B19" s="1027">
        <v>19673.165260000002</v>
      </c>
      <c r="C19" s="1027">
        <v>12080.396579999999</v>
      </c>
      <c r="D19" s="1027">
        <v>5433.3067099999989</v>
      </c>
      <c r="E19" s="1027">
        <v>6678.4437600000001</v>
      </c>
      <c r="F19" s="1027">
        <v>10837.676299999999</v>
      </c>
      <c r="G19" s="1027">
        <v>8.6116600000000005</v>
      </c>
      <c r="H19" s="1027">
        <v>2362.5123699999999</v>
      </c>
      <c r="I19" s="1027">
        <v>1996.0067199999999</v>
      </c>
      <c r="J19" s="1027">
        <v>1136.70847</v>
      </c>
      <c r="K19" s="1027">
        <v>132.92401000000001</v>
      </c>
      <c r="L19" s="1027">
        <v>1082.6939</v>
      </c>
      <c r="M19" s="1027">
        <v>22.581469999999999</v>
      </c>
      <c r="N19" s="1027">
        <v>97.110609999999994</v>
      </c>
      <c r="O19" s="1027">
        <v>1943.98224</v>
      </c>
      <c r="P19" s="1080">
        <v>46.6464</v>
      </c>
      <c r="Q19" s="1080">
        <v>1285.8719999999998</v>
      </c>
      <c r="R19" s="1080">
        <v>126.11039999999998</v>
      </c>
      <c r="S19" s="1080">
        <v>62.539199999999994</v>
      </c>
      <c r="T19" s="1027">
        <v>1669.2267999999999</v>
      </c>
      <c r="U19" s="1076">
        <f t="shared" si="0"/>
        <v>66676.514859999996</v>
      </c>
      <c r="V19" s="135"/>
      <c r="W19" s="135"/>
      <c r="X19" s="135"/>
    </row>
    <row r="20" spans="1:25" s="11" customFormat="1" ht="11.1" customHeight="1">
      <c r="A20" s="1086" t="s">
        <v>220</v>
      </c>
      <c r="B20" s="1081">
        <v>23709.401759999997</v>
      </c>
      <c r="C20" s="1081">
        <v>13077.514040000002</v>
      </c>
      <c r="D20" s="1081">
        <v>5723.8957499999997</v>
      </c>
      <c r="E20" s="1081">
        <v>7050.7496800000008</v>
      </c>
      <c r="F20" s="1081">
        <v>10044.25626</v>
      </c>
      <c r="G20" s="1081">
        <v>10.44585</v>
      </c>
      <c r="H20" s="1081">
        <v>2496.5547799999999</v>
      </c>
      <c r="I20" s="1081">
        <v>2414.7833399999995</v>
      </c>
      <c r="J20" s="1081">
        <v>1338.3879299999999</v>
      </c>
      <c r="K20" s="1081">
        <v>114.11791000000001</v>
      </c>
      <c r="L20" s="1081">
        <v>1177.0468499999997</v>
      </c>
      <c r="M20" s="1081">
        <v>31.072650000000003</v>
      </c>
      <c r="N20" s="1081">
        <v>101.95625</v>
      </c>
      <c r="O20" s="1081">
        <v>4061.917840000001</v>
      </c>
      <c r="P20" s="1081">
        <v>58.456209999999999</v>
      </c>
      <c r="Q20" s="1081">
        <v>1259.92806</v>
      </c>
      <c r="R20" s="1081">
        <v>143.63157000000001</v>
      </c>
      <c r="S20" s="1081">
        <v>57.544499999999999</v>
      </c>
      <c r="T20" s="1081">
        <v>3139.1719699999944</v>
      </c>
      <c r="U20" s="1081">
        <f t="shared" si="0"/>
        <v>76010.833200000008</v>
      </c>
      <c r="V20" s="135"/>
      <c r="W20" s="135"/>
      <c r="X20" s="135"/>
      <c r="Y20" s="307"/>
    </row>
    <row r="21" spans="1:25" s="11" customFormat="1" ht="11.1" customHeight="1">
      <c r="A21" s="1087" t="s">
        <v>489</v>
      </c>
      <c r="B21" s="1027">
        <v>23447.611522103758</v>
      </c>
      <c r="C21" s="1027">
        <v>14274.536554243999</v>
      </c>
      <c r="D21" s="1027">
        <v>6329.345799345223</v>
      </c>
      <c r="E21" s="1027">
        <v>7668.545797496</v>
      </c>
      <c r="F21" s="1027">
        <v>13162.814794050668</v>
      </c>
      <c r="G21" s="1027">
        <v>42.006690047596507</v>
      </c>
      <c r="H21" s="1027">
        <v>2273.663133048</v>
      </c>
      <c r="I21" s="1027">
        <v>2378.4981804742797</v>
      </c>
      <c r="J21" s="1027">
        <v>1443.4474231873241</v>
      </c>
      <c r="K21" s="1027">
        <v>184.06482744244911</v>
      </c>
      <c r="L21" s="1027">
        <v>1326.4480618323998</v>
      </c>
      <c r="M21" s="1027">
        <v>16.463787679999999</v>
      </c>
      <c r="N21" s="1027">
        <v>108.62308996920061</v>
      </c>
      <c r="O21" s="1027">
        <v>5011.1663160175985</v>
      </c>
      <c r="P21" s="1027">
        <v>93.970096692639999</v>
      </c>
      <c r="Q21" s="1027">
        <v>1538.1769608763173</v>
      </c>
      <c r="R21" s="1027">
        <v>170.3696918419937</v>
      </c>
      <c r="S21" s="1027">
        <v>79.384371033026895</v>
      </c>
      <c r="T21" s="1027">
        <v>3459.7479699999994</v>
      </c>
      <c r="U21" s="1076">
        <f t="shared" si="0"/>
        <v>83008.885067382464</v>
      </c>
      <c r="V21" s="135"/>
      <c r="W21" s="135"/>
      <c r="X21" s="135"/>
    </row>
    <row r="22" spans="1:25" s="11" customFormat="1" ht="11.1" customHeight="1">
      <c r="A22" s="1185" t="s">
        <v>1580</v>
      </c>
      <c r="B22" s="1026">
        <v>29163.283242118639</v>
      </c>
      <c r="C22" s="1026">
        <v>19038.108899337632</v>
      </c>
      <c r="D22" s="1026">
        <v>7809.7835324582902</v>
      </c>
      <c r="E22" s="1026">
        <v>9385.6420626336549</v>
      </c>
      <c r="F22" s="1026">
        <v>11828.910059940725</v>
      </c>
      <c r="G22" s="1026">
        <v>102.87052779546001</v>
      </c>
      <c r="H22" s="1026">
        <v>2651.53684450951</v>
      </c>
      <c r="I22" s="1026">
        <v>3174.0609841537071</v>
      </c>
      <c r="J22" s="1026">
        <v>2481.4516458887801</v>
      </c>
      <c r="K22" s="1026">
        <v>275.82418570616346</v>
      </c>
      <c r="L22" s="1026">
        <v>2371.4713983471402</v>
      </c>
      <c r="M22" s="1026">
        <v>8.9624438679999994</v>
      </c>
      <c r="N22" s="1026">
        <v>173.68251222769157</v>
      </c>
      <c r="O22" s="1026">
        <v>6712.3823075712635</v>
      </c>
      <c r="P22" s="1026">
        <v>422.0270226909729</v>
      </c>
      <c r="Q22" s="1026">
        <v>1914.8794293305637</v>
      </c>
      <c r="R22" s="1026">
        <v>239.72250396515088</v>
      </c>
      <c r="S22" s="1026">
        <v>178.82062360774498</v>
      </c>
      <c r="T22" s="1026">
        <v>3658.1110738488965</v>
      </c>
      <c r="U22" s="1026">
        <f t="shared" si="0"/>
        <v>101591.53129999999</v>
      </c>
      <c r="V22" s="135"/>
      <c r="W22" s="135"/>
      <c r="X22" s="135"/>
      <c r="Y22" s="307"/>
    </row>
    <row r="23" spans="1:25" s="11" customFormat="1" ht="11.1" customHeight="1">
      <c r="A23" s="1087" t="s">
        <v>1809</v>
      </c>
      <c r="B23" s="1027">
        <v>30645.329417797999</v>
      </c>
      <c r="C23" s="1027">
        <v>22629.954310562003</v>
      </c>
      <c r="D23" s="1027">
        <v>7944.261095199</v>
      </c>
      <c r="E23" s="1027">
        <v>9487.7621551789998</v>
      </c>
      <c r="F23" s="1027">
        <v>14854.690027008</v>
      </c>
      <c r="G23" s="1027">
        <v>459.92579137900003</v>
      </c>
      <c r="H23" s="1027">
        <v>2297.8989676470005</v>
      </c>
      <c r="I23" s="1027">
        <v>4875.3607362970006</v>
      </c>
      <c r="J23" s="1027">
        <v>3983.3948069319999</v>
      </c>
      <c r="K23" s="1027">
        <v>206.712431503</v>
      </c>
      <c r="L23" s="1027">
        <v>2890.2409015500002</v>
      </c>
      <c r="M23" s="1027">
        <v>21.251621922999998</v>
      </c>
      <c r="N23" s="1027">
        <v>169.73017864899998</v>
      </c>
      <c r="O23" s="1027">
        <v>7967.163443454001</v>
      </c>
      <c r="P23" s="1027">
        <v>488.01441817900002</v>
      </c>
      <c r="Q23" s="1027">
        <v>1866.267097298</v>
      </c>
      <c r="R23" s="1027">
        <v>494.83839057</v>
      </c>
      <c r="S23" s="1027">
        <v>156.27197931100002</v>
      </c>
      <c r="T23" s="1027">
        <v>4207.0907388400001</v>
      </c>
      <c r="U23" s="1076">
        <f t="shared" si="0"/>
        <v>115646.158509278</v>
      </c>
      <c r="V23" s="135"/>
      <c r="W23" s="135"/>
      <c r="X23" s="135"/>
    </row>
    <row r="24" spans="1:25" s="42" customFormat="1" ht="11.1" customHeight="1">
      <c r="A24" s="1090" t="s">
        <v>2226</v>
      </c>
      <c r="B24" s="1082">
        <f>SUM(B25:B36)</f>
        <v>24240.140711880998</v>
      </c>
      <c r="C24" s="1082">
        <f t="shared" ref="C24:T24" si="1">SUM(C25:C36)</f>
        <v>20866.964531202</v>
      </c>
      <c r="D24" s="1082">
        <f t="shared" si="1"/>
        <v>7004.6693670379991</v>
      </c>
      <c r="E24" s="1082">
        <f t="shared" si="1"/>
        <v>8602.8400845840006</v>
      </c>
      <c r="F24" s="1082">
        <f t="shared" si="1"/>
        <v>18056.862406150001</v>
      </c>
      <c r="G24" s="1082">
        <f t="shared" si="1"/>
        <v>559.41628836799998</v>
      </c>
      <c r="H24" s="1082">
        <f t="shared" si="1"/>
        <v>2001.5196785359999</v>
      </c>
      <c r="I24" s="1082">
        <f t="shared" si="1"/>
        <v>5448.4327879120001</v>
      </c>
      <c r="J24" s="1082">
        <f t="shared" si="1"/>
        <v>3335.1378381119998</v>
      </c>
      <c r="K24" s="1082">
        <f t="shared" si="1"/>
        <v>209.31088224700002</v>
      </c>
      <c r="L24" s="1082">
        <f t="shared" si="1"/>
        <v>3570.1673695179998</v>
      </c>
      <c r="M24" s="1082">
        <f t="shared" si="1"/>
        <v>3.0288693630000005</v>
      </c>
      <c r="N24" s="1082">
        <f t="shared" si="1"/>
        <v>132.67317405499998</v>
      </c>
      <c r="O24" s="1082">
        <f t="shared" si="1"/>
        <v>8274.3293595220002</v>
      </c>
      <c r="P24" s="1082">
        <f t="shared" si="1"/>
        <v>422.62113959999994</v>
      </c>
      <c r="Q24" s="1082">
        <f t="shared" si="1"/>
        <v>2095.1929835080005</v>
      </c>
      <c r="R24" s="1082">
        <f t="shared" si="1"/>
        <v>455.27028396500003</v>
      </c>
      <c r="S24" s="1082">
        <f t="shared" si="1"/>
        <v>137.56719587499998</v>
      </c>
      <c r="T24" s="1082">
        <f t="shared" si="1"/>
        <v>5166.238465553999</v>
      </c>
      <c r="U24" s="1082">
        <f t="shared" si="0"/>
        <v>110582.38341698998</v>
      </c>
      <c r="V24" s="898"/>
      <c r="W24" s="135"/>
      <c r="X24" s="135"/>
    </row>
    <row r="25" spans="1:25" s="42" customFormat="1" ht="11.1" hidden="1" customHeight="1">
      <c r="A25" s="1088" t="s">
        <v>1211</v>
      </c>
      <c r="B25" s="1027">
        <v>2015.3068849660001</v>
      </c>
      <c r="C25" s="1027">
        <v>1842.8417769</v>
      </c>
      <c r="D25" s="1027">
        <v>670.57668708799997</v>
      </c>
      <c r="E25" s="1027">
        <v>811.86122331699994</v>
      </c>
      <c r="F25" s="1027">
        <v>1646.1164732899997</v>
      </c>
      <c r="G25" s="1027">
        <v>55.129739232999995</v>
      </c>
      <c r="H25" s="1027">
        <v>182.88455102399999</v>
      </c>
      <c r="I25" s="1027">
        <v>437.69436127299997</v>
      </c>
      <c r="J25" s="1027">
        <v>268.26177765</v>
      </c>
      <c r="K25" s="1027">
        <v>17.184305176999999</v>
      </c>
      <c r="L25" s="1027">
        <v>264.84046802199998</v>
      </c>
      <c r="M25" s="1027">
        <v>0</v>
      </c>
      <c r="N25" s="1027">
        <v>12.518882956999999</v>
      </c>
      <c r="O25" s="1027">
        <v>674.2312678269999</v>
      </c>
      <c r="P25" s="1027">
        <v>34.912909612999997</v>
      </c>
      <c r="Q25" s="1027">
        <v>226.11746359599996</v>
      </c>
      <c r="R25" s="1027">
        <v>37.945434055999996</v>
      </c>
      <c r="S25" s="1027">
        <v>10.030657773</v>
      </c>
      <c r="T25" s="1027">
        <v>425.33099239000001</v>
      </c>
      <c r="U25" s="1027">
        <f t="shared" ref="U25:U48" si="2">SUM(B25:T25)</f>
        <v>9633.7858561519988</v>
      </c>
      <c r="V25" s="135"/>
      <c r="W25" s="135"/>
      <c r="X25" s="135"/>
    </row>
    <row r="26" spans="1:25" s="42" customFormat="1" ht="11.1" hidden="1" customHeight="1">
      <c r="A26" s="1077" t="s">
        <v>1212</v>
      </c>
      <c r="B26" s="1026">
        <v>1754.9000384899998</v>
      </c>
      <c r="C26" s="1026">
        <v>1503.9889873510001</v>
      </c>
      <c r="D26" s="1026">
        <v>526.8587798320001</v>
      </c>
      <c r="E26" s="1026">
        <v>603.44613197700005</v>
      </c>
      <c r="F26" s="1026">
        <v>1219.0995881029999</v>
      </c>
      <c r="G26" s="1026">
        <v>46.963208827999999</v>
      </c>
      <c r="H26" s="1026">
        <v>146.64339710199999</v>
      </c>
      <c r="I26" s="1026">
        <v>377.80501936300004</v>
      </c>
      <c r="J26" s="1026">
        <v>210.63465681299999</v>
      </c>
      <c r="K26" s="1026">
        <v>13.529136318000003</v>
      </c>
      <c r="L26" s="1026">
        <v>215.92190548900004</v>
      </c>
      <c r="M26" s="1026">
        <v>0</v>
      </c>
      <c r="N26" s="1026">
        <v>8.7861632410000006</v>
      </c>
      <c r="O26" s="1026">
        <v>530.43544805400006</v>
      </c>
      <c r="P26" s="1026">
        <v>24.492401954999998</v>
      </c>
      <c r="Q26" s="1026">
        <v>221.59792245000003</v>
      </c>
      <c r="R26" s="1026">
        <v>27.835809206000004</v>
      </c>
      <c r="S26" s="1026">
        <v>7.6198583859999998</v>
      </c>
      <c r="T26" s="1026">
        <v>379.67110713099999</v>
      </c>
      <c r="U26" s="1026">
        <f t="shared" si="2"/>
        <v>7820.2295600890002</v>
      </c>
      <c r="V26" s="135"/>
      <c r="W26" s="135"/>
      <c r="X26" s="135"/>
    </row>
    <row r="27" spans="1:25" s="42" customFormat="1" ht="11.1" hidden="1" customHeight="1">
      <c r="A27" s="1088" t="s">
        <v>1206</v>
      </c>
      <c r="B27" s="1027">
        <v>1743.6259851999998</v>
      </c>
      <c r="C27" s="1027">
        <v>1477.0982996</v>
      </c>
      <c r="D27" s="1027">
        <v>651.08017480000001</v>
      </c>
      <c r="E27" s="1027">
        <v>661.4987016</v>
      </c>
      <c r="F27" s="1027">
        <v>1251.8559702</v>
      </c>
      <c r="G27" s="1027">
        <v>48.904875799999999</v>
      </c>
      <c r="H27" s="1027">
        <v>140.18361060000001</v>
      </c>
      <c r="I27" s="1027">
        <v>362.16043160000004</v>
      </c>
      <c r="J27" s="1027">
        <v>233.0173494</v>
      </c>
      <c r="K27" s="1027">
        <v>20.059551600000002</v>
      </c>
      <c r="L27" s="1027">
        <v>239.08186500000002</v>
      </c>
      <c r="M27" s="1027">
        <v>0</v>
      </c>
      <c r="N27" s="1027">
        <v>11.4292794</v>
      </c>
      <c r="O27" s="1027">
        <v>507.39780520000005</v>
      </c>
      <c r="P27" s="1027">
        <v>29.234075199999999</v>
      </c>
      <c r="Q27" s="1027">
        <v>200.90651680000002</v>
      </c>
      <c r="R27" s="1027">
        <v>27.990072000000005</v>
      </c>
      <c r="S27" s="1027">
        <v>10.8072778</v>
      </c>
      <c r="T27" s="1027">
        <v>358.50617220000004</v>
      </c>
      <c r="U27" s="1027">
        <f t="shared" si="2"/>
        <v>7974.8380139999999</v>
      </c>
      <c r="V27" s="135"/>
      <c r="W27" s="135"/>
      <c r="X27" s="135"/>
    </row>
    <row r="28" spans="1:25" s="42" customFormat="1" ht="11.1" hidden="1" customHeight="1">
      <c r="A28" s="1077" t="s">
        <v>1213</v>
      </c>
      <c r="B28" s="1026">
        <v>1828.6163614000002</v>
      </c>
      <c r="C28" s="1026">
        <v>1781.3439966000001</v>
      </c>
      <c r="D28" s="1026">
        <v>731.47764480000001</v>
      </c>
      <c r="E28" s="1026">
        <v>733.03265680000004</v>
      </c>
      <c r="F28" s="1026">
        <v>1680.9679719999999</v>
      </c>
      <c r="G28" s="1026">
        <v>51.626398400000006</v>
      </c>
      <c r="H28" s="1026">
        <v>168.25229840000003</v>
      </c>
      <c r="I28" s="1026">
        <v>476.06692380000004</v>
      </c>
      <c r="J28" s="1026">
        <v>270.33883620000006</v>
      </c>
      <c r="K28" s="1026">
        <v>19.5154006</v>
      </c>
      <c r="L28" s="1026">
        <v>312.24640959999999</v>
      </c>
      <c r="M28" s="1026">
        <v>0</v>
      </c>
      <c r="N28" s="1026">
        <v>11.818091200000001</v>
      </c>
      <c r="O28" s="1026">
        <v>737.30893979999996</v>
      </c>
      <c r="P28" s="1026">
        <v>41.596570999999997</v>
      </c>
      <c r="Q28" s="1026">
        <v>216.53542100000004</v>
      </c>
      <c r="R28" s="1026">
        <v>30.633736400000004</v>
      </c>
      <c r="S28" s="1026">
        <v>13.606355000000002</v>
      </c>
      <c r="T28" s="1026">
        <v>463.62682780000006</v>
      </c>
      <c r="U28" s="1026">
        <f t="shared" si="2"/>
        <v>9568.6108408</v>
      </c>
      <c r="V28" s="135"/>
      <c r="W28" s="135"/>
      <c r="X28" s="135"/>
    </row>
    <row r="29" spans="1:25" s="42" customFormat="1" ht="11.1" hidden="1" customHeight="1">
      <c r="A29" s="1088" t="s">
        <v>1214</v>
      </c>
      <c r="B29" s="1027">
        <v>1937.784808395</v>
      </c>
      <c r="C29" s="1027">
        <v>1583.5518674549999</v>
      </c>
      <c r="D29" s="1027">
        <v>469.77072633000006</v>
      </c>
      <c r="E29" s="1027">
        <v>670.29020716499997</v>
      </c>
      <c r="F29" s="1027">
        <v>1323.0864697049999</v>
      </c>
      <c r="G29" s="1027">
        <v>46.883771595000006</v>
      </c>
      <c r="H29" s="1027">
        <v>145.62737014500001</v>
      </c>
      <c r="I29" s="1027">
        <v>363.64079560500005</v>
      </c>
      <c r="J29" s="1027">
        <v>240.09467112000002</v>
      </c>
      <c r="K29" s="1027">
        <v>15.161418675000002</v>
      </c>
      <c r="L29" s="1027">
        <v>258.44387526000003</v>
      </c>
      <c r="M29" s="1027">
        <v>0</v>
      </c>
      <c r="N29" s="1027">
        <v>7.2308304450000005</v>
      </c>
      <c r="O29" s="1027">
        <v>640.43387500500012</v>
      </c>
      <c r="P29" s="1027">
        <v>29.156574375000002</v>
      </c>
      <c r="Q29" s="1027">
        <v>134.74224904499999</v>
      </c>
      <c r="R29" s="1027">
        <v>35.376643575000003</v>
      </c>
      <c r="S29" s="1027">
        <v>7.9305882300000006</v>
      </c>
      <c r="T29" s="1027">
        <v>343.65882330000005</v>
      </c>
      <c r="U29" s="1027">
        <f t="shared" si="2"/>
        <v>8252.8655654249997</v>
      </c>
      <c r="V29" s="135"/>
      <c r="W29" s="135"/>
      <c r="X29" s="135"/>
    </row>
    <row r="30" spans="1:25" s="42" customFormat="1" ht="11.1" hidden="1" customHeight="1">
      <c r="A30" s="1077" t="s">
        <v>1207</v>
      </c>
      <c r="B30" s="1026">
        <v>2210.0724592500001</v>
      </c>
      <c r="C30" s="1026">
        <v>1782.4419042499999</v>
      </c>
      <c r="D30" s="1026">
        <v>480.73449482999996</v>
      </c>
      <c r="E30" s="1026">
        <v>772.92279040999995</v>
      </c>
      <c r="F30" s="1026">
        <v>1482.01200161</v>
      </c>
      <c r="G30" s="1026">
        <v>53.181690840000002</v>
      </c>
      <c r="H30" s="1026">
        <v>165.68740230999998</v>
      </c>
      <c r="I30" s="1026">
        <v>439.21545549000001</v>
      </c>
      <c r="J30" s="1026">
        <v>311.47054606</v>
      </c>
      <c r="K30" s="1026">
        <v>26.590845420000001</v>
      </c>
      <c r="L30" s="1026">
        <v>298.56387839999996</v>
      </c>
      <c r="M30" s="1026">
        <v>0</v>
      </c>
      <c r="N30" s="1026">
        <v>13.13992069</v>
      </c>
      <c r="O30" s="1026">
        <v>715.85354906999987</v>
      </c>
      <c r="P30" s="1026">
        <v>31.022652990000001</v>
      </c>
      <c r="Q30" s="1026">
        <v>166.46491240999998</v>
      </c>
      <c r="R30" s="1026">
        <v>45.328838829999995</v>
      </c>
      <c r="S30" s="1026">
        <v>13.839679780000001</v>
      </c>
      <c r="T30" s="1026">
        <v>400.96195856999998</v>
      </c>
      <c r="U30" s="1026">
        <f t="shared" si="2"/>
        <v>9409.5049812099987</v>
      </c>
      <c r="V30" s="135"/>
      <c r="W30" s="135"/>
      <c r="X30" s="135"/>
    </row>
    <row r="31" spans="1:25" s="42" customFormat="1" ht="11.1" hidden="1" customHeight="1">
      <c r="A31" s="1088" t="s">
        <v>1215</v>
      </c>
      <c r="B31" s="1027">
        <v>2274.3592641119999</v>
      </c>
      <c r="C31" s="1027">
        <v>1775.8226990400003</v>
      </c>
      <c r="D31" s="1027">
        <v>613.76288906400009</v>
      </c>
      <c r="E31" s="1027">
        <v>712.50609518400006</v>
      </c>
      <c r="F31" s="1027">
        <v>1568.8507189679999</v>
      </c>
      <c r="G31" s="1027">
        <v>56.524654211999994</v>
      </c>
      <c r="H31" s="1027">
        <v>173.77249266000001</v>
      </c>
      <c r="I31" s="1027">
        <v>461.06079707999999</v>
      </c>
      <c r="J31" s="1027">
        <v>344.66821474799997</v>
      </c>
      <c r="K31" s="1027">
        <v>17.416124544000002</v>
      </c>
      <c r="L31" s="1027">
        <v>313.64574290400003</v>
      </c>
      <c r="M31" s="1027">
        <v>0</v>
      </c>
      <c r="N31" s="1027">
        <v>12.517839516</v>
      </c>
      <c r="O31" s="1027">
        <v>741.89580535200002</v>
      </c>
      <c r="P31" s="1027">
        <v>34.365745751999995</v>
      </c>
      <c r="Q31" s="1027">
        <v>167.86345040400002</v>
      </c>
      <c r="R31" s="1027">
        <v>39.497282448000007</v>
      </c>
      <c r="S31" s="1027">
        <v>10.340823948000001</v>
      </c>
      <c r="T31" s="1027">
        <v>482.83095276000006</v>
      </c>
      <c r="U31" s="1027">
        <f t="shared" si="2"/>
        <v>9801.7015926959994</v>
      </c>
      <c r="V31" s="135"/>
      <c r="W31" s="135"/>
      <c r="X31" s="135"/>
    </row>
    <row r="32" spans="1:25" s="42" customFormat="1" ht="11.1" hidden="1" customHeight="1">
      <c r="A32" s="1077" t="s">
        <v>1216</v>
      </c>
      <c r="B32" s="1026">
        <v>2089.3799421880003</v>
      </c>
      <c r="C32" s="1026">
        <v>1774.725060856</v>
      </c>
      <c r="D32" s="1026">
        <v>530.10056360800013</v>
      </c>
      <c r="E32" s="1026">
        <v>689.95488434399999</v>
      </c>
      <c r="F32" s="1026">
        <v>1495.52425066</v>
      </c>
      <c r="G32" s="1026">
        <v>44.395339076000006</v>
      </c>
      <c r="H32" s="1026">
        <v>170.19509148400002</v>
      </c>
      <c r="I32" s="1026">
        <v>444.65314216400003</v>
      </c>
      <c r="J32" s="1026">
        <v>280.83356347200004</v>
      </c>
      <c r="K32" s="1026">
        <v>13.995028080000001</v>
      </c>
      <c r="L32" s="1026">
        <v>296.30584451600004</v>
      </c>
      <c r="M32" s="1026">
        <v>0</v>
      </c>
      <c r="N32" s="1026">
        <v>11.351522775999999</v>
      </c>
      <c r="O32" s="1026">
        <v>664.68608364399995</v>
      </c>
      <c r="P32" s="1026">
        <v>32.577315364</v>
      </c>
      <c r="Q32" s="1026">
        <v>125.95525272</v>
      </c>
      <c r="R32" s="1026">
        <v>37.164574568000006</v>
      </c>
      <c r="S32" s="1026">
        <v>17.493785100000004</v>
      </c>
      <c r="T32" s="1026">
        <v>402.04605667600003</v>
      </c>
      <c r="U32" s="1026">
        <f t="shared" si="2"/>
        <v>9121.3373012959983</v>
      </c>
      <c r="V32" s="135"/>
      <c r="W32" s="135"/>
      <c r="X32" s="135"/>
    </row>
    <row r="33" spans="1:24" s="42" customFormat="1" ht="11.1" hidden="1" customHeight="1">
      <c r="A33" s="1088" t="s">
        <v>1208</v>
      </c>
      <c r="B33" s="1027">
        <v>2200.939381956</v>
      </c>
      <c r="C33" s="1027">
        <v>1946.823437496</v>
      </c>
      <c r="D33" s="1027">
        <v>559.28821170599997</v>
      </c>
      <c r="E33" s="1027">
        <v>739.34528917199998</v>
      </c>
      <c r="F33" s="1027">
        <v>1669.7826601259999</v>
      </c>
      <c r="G33" s="1027">
        <v>54.164774706000003</v>
      </c>
      <c r="H33" s="1027">
        <v>181.37816953199999</v>
      </c>
      <c r="I33" s="1027">
        <v>523.77414852000004</v>
      </c>
      <c r="J33" s="1027">
        <v>316.518116754</v>
      </c>
      <c r="K33" s="1027">
        <v>18.728422818000002</v>
      </c>
      <c r="L33" s="1027">
        <v>345.19358571600003</v>
      </c>
      <c r="M33" s="1027">
        <v>0</v>
      </c>
      <c r="N33" s="1027">
        <v>12.977786765999999</v>
      </c>
      <c r="O33" s="1027">
        <v>743.07543147599995</v>
      </c>
      <c r="P33" s="1027">
        <v>40.876142747999992</v>
      </c>
      <c r="Q33" s="1027">
        <v>137.16044097</v>
      </c>
      <c r="R33" s="1027">
        <v>45.694243223999997</v>
      </c>
      <c r="S33" s="1027">
        <v>11.967539892000001</v>
      </c>
      <c r="T33" s="1027">
        <v>466.34549929799994</v>
      </c>
      <c r="U33" s="1027">
        <f t="shared" si="2"/>
        <v>10014.033282876</v>
      </c>
      <c r="V33" s="135"/>
      <c r="W33" s="135"/>
      <c r="X33" s="135"/>
    </row>
    <row r="34" spans="1:24" s="42" customFormat="1" ht="11.1" hidden="1" customHeight="1">
      <c r="A34" s="1077" t="s">
        <v>1217</v>
      </c>
      <c r="B34" s="1026">
        <v>2005.6551615250003</v>
      </c>
      <c r="C34" s="1026">
        <v>1729.3290796389999</v>
      </c>
      <c r="D34" s="1026">
        <v>657.41997840500005</v>
      </c>
      <c r="E34" s="1026">
        <v>723.74445112299998</v>
      </c>
      <c r="F34" s="1026">
        <v>1587.9041793820002</v>
      </c>
      <c r="G34" s="1026">
        <v>44.811733909000004</v>
      </c>
      <c r="H34" s="1026">
        <v>164.41324208900002</v>
      </c>
      <c r="I34" s="1026">
        <v>503.49128411100003</v>
      </c>
      <c r="J34" s="1026">
        <v>303.89655942100001</v>
      </c>
      <c r="K34" s="1026">
        <v>16.386959887</v>
      </c>
      <c r="L34" s="1026">
        <v>346.92203703900003</v>
      </c>
      <c r="M34" s="1026">
        <v>3.0288693630000005</v>
      </c>
      <c r="N34" s="1026">
        <v>10.484547795000001</v>
      </c>
      <c r="O34" s="1026">
        <v>745.72316983400003</v>
      </c>
      <c r="P34" s="1026">
        <v>41.627537912000008</v>
      </c>
      <c r="Q34" s="1026">
        <v>143.21115654800002</v>
      </c>
      <c r="R34" s="1026">
        <v>42.870150984000006</v>
      </c>
      <c r="S34" s="1026">
        <v>11.028191014000001</v>
      </c>
      <c r="T34" s="1026">
        <v>475.06651008900008</v>
      </c>
      <c r="U34" s="1026">
        <f t="shared" si="2"/>
        <v>9557.0148000690006</v>
      </c>
      <c r="V34" s="135"/>
      <c r="W34" s="135"/>
      <c r="X34" s="135"/>
    </row>
    <row r="35" spans="1:24" s="42" customFormat="1" ht="11.1" hidden="1" customHeight="1">
      <c r="A35" s="1088" t="s">
        <v>1218</v>
      </c>
      <c r="B35" s="1027">
        <v>1951.205746959</v>
      </c>
      <c r="C35" s="1027">
        <v>1900.2729957750003</v>
      </c>
      <c r="D35" s="1027">
        <v>501.95157988500006</v>
      </c>
      <c r="E35" s="1027">
        <v>724.23887659200011</v>
      </c>
      <c r="F35" s="1027">
        <v>1505.7770982659999</v>
      </c>
      <c r="G35" s="1027">
        <v>33.463438658999998</v>
      </c>
      <c r="H35" s="1027">
        <v>186.3393336</v>
      </c>
      <c r="I35" s="1027">
        <v>504.97959405600005</v>
      </c>
      <c r="J35" s="1027">
        <v>259.78808759400005</v>
      </c>
      <c r="K35" s="1027">
        <v>14.907146688000001</v>
      </c>
      <c r="L35" s="1027">
        <v>336.03193159200003</v>
      </c>
      <c r="M35" s="1027">
        <v>0</v>
      </c>
      <c r="N35" s="1027">
        <v>10.947435849</v>
      </c>
      <c r="O35" s="1027">
        <v>783.40161501000011</v>
      </c>
      <c r="P35" s="1027">
        <v>37.966639220999994</v>
      </c>
      <c r="Q35" s="1027">
        <v>164.21153773500001</v>
      </c>
      <c r="R35" s="1027">
        <v>42.392198394000005</v>
      </c>
      <c r="S35" s="1027">
        <v>10.714511681999999</v>
      </c>
      <c r="T35" s="1027">
        <v>471.28323123000001</v>
      </c>
      <c r="U35" s="1027">
        <f t="shared" si="2"/>
        <v>9439.8729987869992</v>
      </c>
      <c r="V35" s="135"/>
      <c r="W35" s="135"/>
      <c r="X35" s="135"/>
    </row>
    <row r="36" spans="1:24" s="42" customFormat="1" ht="11.1" hidden="1" customHeight="1">
      <c r="A36" s="1077" t="s">
        <v>1209</v>
      </c>
      <c r="B36" s="1026">
        <v>2228.2946774400002</v>
      </c>
      <c r="C36" s="1026">
        <v>1768.72442624</v>
      </c>
      <c r="D36" s="1026">
        <v>611.64763669000001</v>
      </c>
      <c r="E36" s="1026">
        <v>759.99877690000005</v>
      </c>
      <c r="F36" s="1026">
        <v>1625.88502384</v>
      </c>
      <c r="G36" s="1026">
        <v>23.366663109999998</v>
      </c>
      <c r="H36" s="1026">
        <v>176.14271959000001</v>
      </c>
      <c r="I36" s="1026">
        <v>553.89083485000003</v>
      </c>
      <c r="J36" s="1026">
        <v>295.61545888000001</v>
      </c>
      <c r="K36" s="1026">
        <v>15.836542439999999</v>
      </c>
      <c r="L36" s="1026">
        <v>342.96982598</v>
      </c>
      <c r="M36" s="1026">
        <v>0</v>
      </c>
      <c r="N36" s="1026">
        <v>9.4708734200000002</v>
      </c>
      <c r="O36" s="1026">
        <v>789.88636925000003</v>
      </c>
      <c r="P36" s="1026">
        <v>44.792573469999994</v>
      </c>
      <c r="Q36" s="1026">
        <v>190.42665983000001</v>
      </c>
      <c r="R36" s="1026">
        <v>42.541300280000009</v>
      </c>
      <c r="S36" s="1026">
        <v>12.187927269999999</v>
      </c>
      <c r="T36" s="1026">
        <v>496.91033411000006</v>
      </c>
      <c r="U36" s="1026">
        <f t="shared" si="2"/>
        <v>9988.5886235899998</v>
      </c>
      <c r="V36" s="135"/>
      <c r="W36" s="135"/>
      <c r="X36" s="135"/>
    </row>
    <row r="37" spans="1:24" s="42" customFormat="1" ht="11.1" customHeight="1">
      <c r="A37" s="1089" t="s">
        <v>2376</v>
      </c>
      <c r="B37" s="1053">
        <f>SUM(B38:B49)</f>
        <v>25987.258654580997</v>
      </c>
      <c r="C37" s="1053">
        <f t="shared" ref="C37:T37" si="3">SUM(C38:C49)</f>
        <v>21934.982243472998</v>
      </c>
      <c r="D37" s="1053">
        <f t="shared" si="3"/>
        <v>6309.8007089949997</v>
      </c>
      <c r="E37" s="1053">
        <f t="shared" si="3"/>
        <v>8371.9666337629988</v>
      </c>
      <c r="F37" s="1053">
        <f t="shared" si="3"/>
        <v>18489.105624444001</v>
      </c>
      <c r="G37" s="1053">
        <f t="shared" si="3"/>
        <v>355.14259886400004</v>
      </c>
      <c r="H37" s="1053">
        <f t="shared" si="3"/>
        <v>2409.4986989259996</v>
      </c>
      <c r="I37" s="1053">
        <f t="shared" si="3"/>
        <v>7109.6637192180006</v>
      </c>
      <c r="J37" s="1053">
        <f t="shared" si="3"/>
        <v>3444.4421886290006</v>
      </c>
      <c r="K37" s="1053">
        <f t="shared" si="3"/>
        <v>164.36111672899997</v>
      </c>
      <c r="L37" s="1053">
        <f t="shared" si="3"/>
        <v>4306.5368910809993</v>
      </c>
      <c r="M37" s="1053">
        <f t="shared" si="3"/>
        <v>1.0878520650000001</v>
      </c>
      <c r="N37" s="1053">
        <f t="shared" si="3"/>
        <v>126.68805762700001</v>
      </c>
      <c r="O37" s="1053">
        <f t="shared" si="3"/>
        <v>10732.610499937999</v>
      </c>
      <c r="P37" s="1053">
        <f t="shared" si="3"/>
        <v>480.40710343800004</v>
      </c>
      <c r="Q37" s="1053">
        <f t="shared" si="3"/>
        <v>2020.3891492669998</v>
      </c>
      <c r="R37" s="1053">
        <f t="shared" si="3"/>
        <v>469.14853845199997</v>
      </c>
      <c r="S37" s="1053">
        <f t="shared" si="3"/>
        <v>152.87326095199998</v>
      </c>
      <c r="T37" s="1053">
        <f t="shared" si="3"/>
        <v>6116.3519323189985</v>
      </c>
      <c r="U37" s="1053">
        <f t="shared" si="2"/>
        <v>118982.31547276098</v>
      </c>
      <c r="V37" s="898"/>
      <c r="W37" s="135"/>
      <c r="X37" s="135"/>
    </row>
    <row r="38" spans="1:24" s="42" customFormat="1" ht="11.1" customHeight="1">
      <c r="A38" s="1077" t="s">
        <v>1211</v>
      </c>
      <c r="B38" s="1026">
        <v>2354.5686263859998</v>
      </c>
      <c r="C38" s="1026">
        <v>2009.0570567129998</v>
      </c>
      <c r="D38" s="1026">
        <v>796.00341191899997</v>
      </c>
      <c r="E38" s="1026">
        <v>849.61861394999994</v>
      </c>
      <c r="F38" s="1026">
        <v>1984.8487455209997</v>
      </c>
      <c r="G38" s="1026">
        <v>31.967385291999999</v>
      </c>
      <c r="H38" s="1026">
        <v>201.03760993099999</v>
      </c>
      <c r="I38" s="1026">
        <v>605.98368720999986</v>
      </c>
      <c r="J38" s="1026">
        <v>365.76275307399999</v>
      </c>
      <c r="K38" s="1026">
        <v>18.233824134999999</v>
      </c>
      <c r="L38" s="1026">
        <v>381.82403646099999</v>
      </c>
      <c r="M38" s="1026">
        <v>0</v>
      </c>
      <c r="N38" s="1026">
        <v>18.776959322</v>
      </c>
      <c r="O38" s="1026">
        <v>994.48052739699983</v>
      </c>
      <c r="P38" s="1026">
        <v>72.780115058000007</v>
      </c>
      <c r="Q38" s="1026">
        <v>236.88453227300002</v>
      </c>
      <c r="R38" s="1026">
        <v>40.036822356000002</v>
      </c>
      <c r="S38" s="1026">
        <v>15.285375976999998</v>
      </c>
      <c r="T38" s="1026">
        <v>603.04</v>
      </c>
      <c r="U38" s="1026">
        <f t="shared" si="2"/>
        <v>11580.190082974997</v>
      </c>
      <c r="V38" s="135"/>
      <c r="W38" s="135"/>
      <c r="X38" s="135"/>
    </row>
    <row r="39" spans="1:24" s="42" customFormat="1" ht="11.1" customHeight="1">
      <c r="A39" s="1088" t="s">
        <v>1212</v>
      </c>
      <c r="B39" s="1027">
        <v>2009.5132751999997</v>
      </c>
      <c r="C39" s="1027">
        <v>1683.7341804</v>
      </c>
      <c r="D39" s="1027">
        <v>438.32237219999996</v>
      </c>
      <c r="E39" s="1027">
        <v>635.2924716</v>
      </c>
      <c r="F39" s="1027">
        <v>1396.2182507999999</v>
      </c>
      <c r="G39" s="1027">
        <v>6.6611987999999993</v>
      </c>
      <c r="H39" s="1027">
        <v>172.26169919999998</v>
      </c>
      <c r="I39" s="1027">
        <v>566.12444219999998</v>
      </c>
      <c r="J39" s="1027">
        <v>274.81317839999997</v>
      </c>
      <c r="K39" s="1027">
        <v>13.8645882</v>
      </c>
      <c r="L39" s="1027">
        <v>321.13174679999997</v>
      </c>
      <c r="M39" s="1027">
        <v>0</v>
      </c>
      <c r="N39" s="1027">
        <v>10.9987236</v>
      </c>
      <c r="O39" s="1027">
        <v>712.20608100000004</v>
      </c>
      <c r="P39" s="1027">
        <v>38.418076800000001</v>
      </c>
      <c r="Q39" s="1027">
        <v>250.64696879999997</v>
      </c>
      <c r="R39" s="1027">
        <v>42.213411000000001</v>
      </c>
      <c r="S39" s="1027">
        <v>11.386002599999999</v>
      </c>
      <c r="T39" s="1027">
        <v>512.37011699999891</v>
      </c>
      <c r="U39" s="1027">
        <f t="shared" si="2"/>
        <v>9096.1767845999984</v>
      </c>
      <c r="V39" s="135"/>
      <c r="W39" s="135"/>
      <c r="X39" s="135"/>
    </row>
    <row r="40" spans="1:24" s="42" customFormat="1" ht="11.1" customHeight="1">
      <c r="A40" s="1077" t="s">
        <v>1206</v>
      </c>
      <c r="B40" s="1026">
        <v>2209.4768710419999</v>
      </c>
      <c r="C40" s="1026">
        <v>1913.7292663249998</v>
      </c>
      <c r="D40" s="1026">
        <v>629.731094472</v>
      </c>
      <c r="E40" s="1026">
        <v>720.44457071600004</v>
      </c>
      <c r="F40" s="1026">
        <v>1644.9944629810002</v>
      </c>
      <c r="G40" s="1026">
        <v>21.981763867999998</v>
      </c>
      <c r="H40" s="1026">
        <v>191.566428075</v>
      </c>
      <c r="I40" s="1026">
        <v>650.55184968499998</v>
      </c>
      <c r="J40" s="1026">
        <v>289.09115509500003</v>
      </c>
      <c r="K40" s="1026">
        <v>15.093112514999998</v>
      </c>
      <c r="L40" s="1026">
        <v>347.06418726800001</v>
      </c>
      <c r="M40" s="1026">
        <v>0</v>
      </c>
      <c r="N40" s="1026">
        <v>10.371677318</v>
      </c>
      <c r="O40" s="1026">
        <v>885.61740203400007</v>
      </c>
      <c r="P40" s="1026">
        <v>50.155573896000007</v>
      </c>
      <c r="Q40" s="1026">
        <v>196.82966731100001</v>
      </c>
      <c r="R40" s="1026">
        <v>37.229677537000001</v>
      </c>
      <c r="S40" s="1026">
        <v>13.003296935999998</v>
      </c>
      <c r="T40" s="1081">
        <v>577.79530730500005</v>
      </c>
      <c r="U40" s="1026">
        <f t="shared" si="2"/>
        <v>10404.727364378999</v>
      </c>
      <c r="V40" s="135"/>
      <c r="W40" s="135"/>
      <c r="X40" s="135"/>
    </row>
    <row r="41" spans="1:24" s="42" customFormat="1" ht="11.1" customHeight="1">
      <c r="A41" s="1088" t="s">
        <v>1213</v>
      </c>
      <c r="B41" s="1027">
        <v>1618.88684042</v>
      </c>
      <c r="C41" s="1027">
        <v>1473.5237284760001</v>
      </c>
      <c r="D41" s="1027">
        <v>401.49012867599998</v>
      </c>
      <c r="E41" s="1027">
        <v>547.2402563600001</v>
      </c>
      <c r="F41" s="1027">
        <v>1203.6963545479998</v>
      </c>
      <c r="G41" s="1027">
        <v>37.385720484000004</v>
      </c>
      <c r="H41" s="1027">
        <v>145.595321388</v>
      </c>
      <c r="I41" s="1027">
        <v>522.54865214799997</v>
      </c>
      <c r="J41" s="1027">
        <v>256.12701673200002</v>
      </c>
      <c r="K41" s="1027">
        <v>12.926325715999999</v>
      </c>
      <c r="L41" s="1027">
        <v>285.84982556400001</v>
      </c>
      <c r="M41" s="1027">
        <v>0</v>
      </c>
      <c r="N41" s="1027">
        <v>8.8239588720000004</v>
      </c>
      <c r="O41" s="1027">
        <v>713.57962141199994</v>
      </c>
      <c r="P41" s="1027">
        <v>32.122306420000001</v>
      </c>
      <c r="Q41" s="1027">
        <v>142.49919546799998</v>
      </c>
      <c r="R41" s="1027">
        <v>29.103583648000001</v>
      </c>
      <c r="S41" s="1027">
        <v>10.681634423999999</v>
      </c>
      <c r="T41" s="1027">
        <v>437.79</v>
      </c>
      <c r="U41" s="1027">
        <f t="shared" si="2"/>
        <v>7879.8704707559991</v>
      </c>
      <c r="V41" s="135"/>
      <c r="W41" s="135"/>
      <c r="X41" s="135"/>
    </row>
    <row r="42" spans="1:24" s="42" customFormat="1" ht="11.1" customHeight="1">
      <c r="A42" s="1077" t="s">
        <v>1214</v>
      </c>
      <c r="B42" s="1026">
        <v>1973.3730512999998</v>
      </c>
      <c r="C42" s="1026">
        <v>1826.6374402499998</v>
      </c>
      <c r="D42" s="1026">
        <v>415.71214055000002</v>
      </c>
      <c r="E42" s="1026">
        <v>724.99639204999994</v>
      </c>
      <c r="F42" s="1026">
        <v>1345.1927068999998</v>
      </c>
      <c r="G42" s="1026">
        <v>48.756840650000001</v>
      </c>
      <c r="H42" s="1026">
        <v>194.48475864999997</v>
      </c>
      <c r="I42" s="1026">
        <v>505.93942594999987</v>
      </c>
      <c r="J42" s="1026">
        <v>262.38776724999997</v>
      </c>
      <c r="K42" s="1026">
        <v>9.7668710999999995</v>
      </c>
      <c r="L42" s="1026">
        <v>331.91858769999999</v>
      </c>
      <c r="M42" s="1026">
        <v>0.46508909999999998</v>
      </c>
      <c r="N42" s="1026">
        <v>6.9763364999999995</v>
      </c>
      <c r="O42" s="1026">
        <v>826.3083009999998</v>
      </c>
      <c r="P42" s="1026">
        <v>37.129613149999997</v>
      </c>
      <c r="Q42" s="1026">
        <v>151.61904659999999</v>
      </c>
      <c r="R42" s="1026">
        <v>30.540850899999999</v>
      </c>
      <c r="S42" s="1026">
        <v>11.85977205</v>
      </c>
      <c r="T42" s="1026">
        <v>465.55418909999997</v>
      </c>
      <c r="U42" s="1026">
        <f t="shared" si="2"/>
        <v>9169.6191807499999</v>
      </c>
      <c r="V42" s="135"/>
      <c r="W42" s="135"/>
      <c r="X42" s="135"/>
    </row>
    <row r="43" spans="1:24" s="42" customFormat="1" ht="11.1" customHeight="1">
      <c r="A43" s="1088" t="s">
        <v>1207</v>
      </c>
      <c r="B43" s="1027">
        <v>2278.0752209600005</v>
      </c>
      <c r="C43" s="1027">
        <v>1868.9403854800003</v>
      </c>
      <c r="D43" s="1027">
        <v>467.13777600000003</v>
      </c>
      <c r="E43" s="1027">
        <v>711.21726395999997</v>
      </c>
      <c r="F43" s="1027">
        <v>1475.5325217920001</v>
      </c>
      <c r="G43" s="1027">
        <v>35.113189496000004</v>
      </c>
      <c r="H43" s="1027">
        <v>249.68514127200001</v>
      </c>
      <c r="I43" s="1027">
        <v>604.08700066400002</v>
      </c>
      <c r="J43" s="1027">
        <v>281.76193522400001</v>
      </c>
      <c r="K43" s="1027">
        <v>20.787631032</v>
      </c>
      <c r="L43" s="1027">
        <v>369.66169340799996</v>
      </c>
      <c r="M43" s="1027">
        <v>0</v>
      </c>
      <c r="N43" s="1027">
        <v>8.7199051520000008</v>
      </c>
      <c r="O43" s="1027">
        <v>824.18674945599992</v>
      </c>
      <c r="P43" s="1027">
        <v>39.161716888000001</v>
      </c>
      <c r="Q43" s="1027">
        <v>143.72272241600001</v>
      </c>
      <c r="R43" s="1027">
        <v>34.490339128000002</v>
      </c>
      <c r="S43" s="1027">
        <v>11.289162919999999</v>
      </c>
      <c r="T43" s="1027">
        <v>503.57452252800005</v>
      </c>
      <c r="U43" s="1027">
        <f t="shared" si="2"/>
        <v>9927.1448777760015</v>
      </c>
      <c r="V43" s="135"/>
      <c r="W43" s="135"/>
      <c r="X43" s="135"/>
    </row>
    <row r="44" spans="1:24" s="42" customFormat="1" ht="11.1" customHeight="1">
      <c r="A44" s="1077" t="s">
        <v>1215</v>
      </c>
      <c r="B44" s="1026">
        <v>2099.5229798730002</v>
      </c>
      <c r="C44" s="1026">
        <v>1873.069479429</v>
      </c>
      <c r="D44" s="1026">
        <v>416.30688217799997</v>
      </c>
      <c r="E44" s="1026">
        <v>672.74133092699992</v>
      </c>
      <c r="F44" s="1026">
        <v>1418.3714089019998</v>
      </c>
      <c r="G44" s="1026">
        <v>16.976225274000001</v>
      </c>
      <c r="H44" s="1026">
        <v>200.13256400999998</v>
      </c>
      <c r="I44" s="1026">
        <v>590.04063716099995</v>
      </c>
      <c r="J44" s="1026">
        <v>270.84087845400001</v>
      </c>
      <c r="K44" s="1026">
        <v>13.004723030999997</v>
      </c>
      <c r="L44" s="1026">
        <v>386.24806128</v>
      </c>
      <c r="M44" s="1026">
        <v>0.38936296500000001</v>
      </c>
      <c r="N44" s="1026">
        <v>14.873665262999998</v>
      </c>
      <c r="O44" s="1026">
        <v>967.41122283900006</v>
      </c>
      <c r="P44" s="1026">
        <v>37.534589826000001</v>
      </c>
      <c r="Q44" s="1026">
        <v>151.30644819899999</v>
      </c>
      <c r="R44" s="1026">
        <v>41.350346882999993</v>
      </c>
      <c r="S44" s="1026">
        <v>12.848977844999999</v>
      </c>
      <c r="T44" s="1026">
        <v>498.54034038599991</v>
      </c>
      <c r="U44" s="1026">
        <f t="shared" si="2"/>
        <v>9681.5101247250004</v>
      </c>
      <c r="V44" s="135"/>
      <c r="W44" s="135"/>
      <c r="X44" s="135"/>
    </row>
    <row r="45" spans="1:24" s="42" customFormat="1" ht="11.1" customHeight="1">
      <c r="A45" s="1088" t="s">
        <v>1216</v>
      </c>
      <c r="B45" s="1027">
        <v>2026.6899999999998</v>
      </c>
      <c r="C45" s="1027">
        <v>1730.7387999999999</v>
      </c>
      <c r="D45" s="1027">
        <v>496.05279999999993</v>
      </c>
      <c r="E45" s="1027">
        <v>630.10219999999993</v>
      </c>
      <c r="F45" s="1027">
        <v>1406.0016000000001</v>
      </c>
      <c r="G45" s="1027">
        <v>28.863799999999998</v>
      </c>
      <c r="H45" s="1027">
        <v>167.19219999999999</v>
      </c>
      <c r="I45" s="1027">
        <v>560.78239999999994</v>
      </c>
      <c r="J45" s="1027">
        <v>311.66680000000002</v>
      </c>
      <c r="K45" s="1027">
        <v>9.1025999999999989</v>
      </c>
      <c r="L45" s="1027">
        <v>369.31659999999999</v>
      </c>
      <c r="M45" s="1027">
        <v>7.7800000000000008E-2</v>
      </c>
      <c r="N45" s="1027">
        <v>7.0798000000000005</v>
      </c>
      <c r="O45" s="1027">
        <v>902.7912</v>
      </c>
      <c r="P45" s="1027">
        <v>26.529800000000002</v>
      </c>
      <c r="Q45" s="1027">
        <v>110.3982</v>
      </c>
      <c r="R45" s="1027">
        <v>36.643799999999999</v>
      </c>
      <c r="S45" s="1027">
        <v>11.514399999999998</v>
      </c>
      <c r="T45" s="1027">
        <v>423.54319999999996</v>
      </c>
      <c r="U45" s="1027">
        <f t="shared" si="2"/>
        <v>9255.0880000000016</v>
      </c>
      <c r="V45" s="135"/>
      <c r="W45" s="135"/>
      <c r="X45" s="135"/>
    </row>
    <row r="46" spans="1:24" s="42" customFormat="1" ht="11.1" customHeight="1">
      <c r="A46" s="1077" t="s">
        <v>1208</v>
      </c>
      <c r="B46" s="1026">
        <v>2387.9931999999999</v>
      </c>
      <c r="C46" s="1026">
        <v>1942.5881999999997</v>
      </c>
      <c r="D46" s="1026">
        <v>504.61080000000004</v>
      </c>
      <c r="E46" s="1026">
        <v>718.24959999999987</v>
      </c>
      <c r="F46" s="1026">
        <v>1631.1547999999998</v>
      </c>
      <c r="G46" s="1026">
        <v>35.01</v>
      </c>
      <c r="H46" s="1026">
        <v>214.49459999999999</v>
      </c>
      <c r="I46" s="1026">
        <v>662.23360000000002</v>
      </c>
      <c r="J46" s="1026">
        <v>295.71780000000001</v>
      </c>
      <c r="K46" s="1026">
        <v>10.114000000000001</v>
      </c>
      <c r="L46" s="1026">
        <v>375.61839999999995</v>
      </c>
      <c r="M46" s="1026">
        <v>0.15560000000000002</v>
      </c>
      <c r="N46" s="1026">
        <v>8.8691999999999993</v>
      </c>
      <c r="O46" s="1026">
        <v>898.27879999999982</v>
      </c>
      <c r="P46" s="1026">
        <v>35.01</v>
      </c>
      <c r="Q46" s="1026">
        <v>125.18019999999999</v>
      </c>
      <c r="R46" s="1026">
        <v>39.055599999999991</v>
      </c>
      <c r="S46" s="1026">
        <v>14.859799999999998</v>
      </c>
      <c r="T46" s="1026">
        <v>512.85760000000005</v>
      </c>
      <c r="U46" s="1026">
        <f t="shared" si="2"/>
        <v>10412.051799999997</v>
      </c>
      <c r="V46" s="135"/>
      <c r="W46" s="135"/>
      <c r="X46" s="135"/>
    </row>
    <row r="47" spans="1:24" s="42" customFormat="1" ht="11.1" customHeight="1">
      <c r="A47" s="1088" t="s">
        <v>1217</v>
      </c>
      <c r="B47" s="1027">
        <v>2321.3185999999996</v>
      </c>
      <c r="C47" s="1027">
        <v>1853.8961999999999</v>
      </c>
      <c r="D47" s="1027">
        <v>493.79659999999996</v>
      </c>
      <c r="E47" s="1027">
        <v>696.85459999999989</v>
      </c>
      <c r="F47" s="1027">
        <v>1483.1791999999998</v>
      </c>
      <c r="G47" s="1027">
        <v>29.408399999999993</v>
      </c>
      <c r="H47" s="1027">
        <v>222.89699999999999</v>
      </c>
      <c r="I47" s="1027">
        <v>632.28059999999994</v>
      </c>
      <c r="J47" s="1027">
        <v>277.20140000000004</v>
      </c>
      <c r="K47" s="1027">
        <v>12.836999999999998</v>
      </c>
      <c r="L47" s="1027">
        <v>372.58420000000001</v>
      </c>
      <c r="M47" s="1027">
        <v>0</v>
      </c>
      <c r="N47" s="1027">
        <v>8.7913999999999994</v>
      </c>
      <c r="O47" s="1027">
        <v>969.77700000000004</v>
      </c>
      <c r="P47" s="1027">
        <v>33.842999999999996</v>
      </c>
      <c r="Q47" s="1027">
        <v>141.90719999999999</v>
      </c>
      <c r="R47" s="1027">
        <v>54.148799999999994</v>
      </c>
      <c r="S47" s="1027">
        <v>12.059000000000001</v>
      </c>
      <c r="T47" s="1027">
        <v>477.69200000000001</v>
      </c>
      <c r="U47" s="1027">
        <f t="shared" si="2"/>
        <v>10094.4722</v>
      </c>
      <c r="V47" s="135"/>
      <c r="W47" s="135"/>
      <c r="X47" s="135"/>
    </row>
    <row r="48" spans="1:24" s="42" customFormat="1" ht="11.1" customHeight="1">
      <c r="A48" s="1077" t="s">
        <v>1218</v>
      </c>
      <c r="B48" s="1026">
        <v>2222.3569999999995</v>
      </c>
      <c r="C48" s="1026">
        <v>1850.473</v>
      </c>
      <c r="D48" s="1026">
        <v>588.16799999999989</v>
      </c>
      <c r="E48" s="1026">
        <v>712.80359999999996</v>
      </c>
      <c r="F48" s="1026">
        <v>1643.2138</v>
      </c>
      <c r="G48" s="1026">
        <v>33.842999999999996</v>
      </c>
      <c r="H48" s="1026">
        <v>225.93119999999999</v>
      </c>
      <c r="I48" s="1026">
        <v>577.27600000000007</v>
      </c>
      <c r="J48" s="1026">
        <v>285.05920000000003</v>
      </c>
      <c r="K48" s="1026">
        <v>12.6814</v>
      </c>
      <c r="L48" s="1026">
        <v>394.75720000000001</v>
      </c>
      <c r="M48" s="1026">
        <v>0</v>
      </c>
      <c r="N48" s="1026">
        <v>10.114000000000001</v>
      </c>
      <c r="O48" s="1026">
        <v>1028.5938000000001</v>
      </c>
      <c r="P48" s="1026">
        <v>34.387599999999999</v>
      </c>
      <c r="Q48" s="1026">
        <v>148.3646</v>
      </c>
      <c r="R48" s="1026">
        <v>42.712200000000003</v>
      </c>
      <c r="S48" s="1026">
        <v>13.225999999999999</v>
      </c>
      <c r="T48" s="1026">
        <v>459.40899999999993</v>
      </c>
      <c r="U48" s="1026">
        <f t="shared" si="2"/>
        <v>10283.3706</v>
      </c>
      <c r="V48" s="135"/>
      <c r="W48" s="135"/>
      <c r="X48" s="135"/>
    </row>
    <row r="49" spans="1:24" s="42" customFormat="1" ht="11.1" customHeight="1">
      <c r="A49" s="1088" t="s">
        <v>1209</v>
      </c>
      <c r="B49" s="1293">
        <v>2485.4829894</v>
      </c>
      <c r="C49" s="1293">
        <v>1908.5945064</v>
      </c>
      <c r="D49" s="1293">
        <v>662.46870300000012</v>
      </c>
      <c r="E49" s="1293">
        <v>752.40573419999998</v>
      </c>
      <c r="F49" s="1293">
        <v>1856.701773</v>
      </c>
      <c r="G49" s="1293">
        <v>29.175075</v>
      </c>
      <c r="H49" s="1293">
        <v>224.22017640000001</v>
      </c>
      <c r="I49" s="1293">
        <v>631.81542420000005</v>
      </c>
      <c r="J49" s="1293">
        <v>274.0123044</v>
      </c>
      <c r="K49" s="1293">
        <v>15.949040999999999</v>
      </c>
      <c r="L49" s="1293">
        <v>370.5623526</v>
      </c>
      <c r="M49" s="1293">
        <v>0</v>
      </c>
      <c r="N49" s="1293">
        <v>12.2924316</v>
      </c>
      <c r="O49" s="1293">
        <v>1009.3797948</v>
      </c>
      <c r="P49" s="1293">
        <v>43.334711400000003</v>
      </c>
      <c r="Q49" s="1293">
        <v>221.03036820000003</v>
      </c>
      <c r="R49" s="1293">
        <v>41.623107000000005</v>
      </c>
      <c r="S49" s="1293">
        <v>14.8598382</v>
      </c>
      <c r="T49" s="1293">
        <v>644.18565599999999</v>
      </c>
      <c r="U49" s="1293">
        <f>SUM(B49:T49)</f>
        <v>11198.093986799999</v>
      </c>
      <c r="V49" s="135"/>
      <c r="W49" s="135"/>
      <c r="X49" s="135"/>
    </row>
    <row r="50" spans="1:24" s="42" customFormat="1" ht="11.1" customHeight="1">
      <c r="A50" s="1090" t="s">
        <v>2608</v>
      </c>
      <c r="B50" s="1082">
        <f t="shared" ref="B50:T50" si="4">SUM(B51:B62)</f>
        <v>23165.843384732998</v>
      </c>
      <c r="C50" s="1082">
        <f t="shared" si="4"/>
        <v>21248.75908046</v>
      </c>
      <c r="D50" s="1082">
        <f t="shared" si="4"/>
        <v>6747.2028958150004</v>
      </c>
      <c r="E50" s="1082">
        <f t="shared" si="4"/>
        <v>8122.9117313530023</v>
      </c>
      <c r="F50" s="1082">
        <f t="shared" si="4"/>
        <v>18889.249921554001</v>
      </c>
      <c r="G50" s="1082">
        <f t="shared" si="4"/>
        <v>95.893180836999989</v>
      </c>
      <c r="H50" s="1082">
        <f t="shared" si="4"/>
        <v>3379.2433817339997</v>
      </c>
      <c r="I50" s="1082">
        <f t="shared" si="4"/>
        <v>7132.6719513709986</v>
      </c>
      <c r="J50" s="1082">
        <f t="shared" si="4"/>
        <v>3046.1566874470004</v>
      </c>
      <c r="K50" s="1082">
        <f t="shared" si="4"/>
        <v>204.66359045500002</v>
      </c>
      <c r="L50" s="1082">
        <f t="shared" si="4"/>
        <v>3806.9407668829999</v>
      </c>
      <c r="M50" s="1082">
        <f t="shared" si="4"/>
        <v>1.4088847410000001</v>
      </c>
      <c r="N50" s="1082">
        <f t="shared" si="4"/>
        <v>178.34404229900002</v>
      </c>
      <c r="O50" s="1082">
        <f t="shared" si="4"/>
        <v>10364.006886042</v>
      </c>
      <c r="P50" s="1082">
        <f t="shared" si="4"/>
        <v>540.57418486999995</v>
      </c>
      <c r="Q50" s="1082">
        <f t="shared" si="4"/>
        <v>2736.7067065770002</v>
      </c>
      <c r="R50" s="1082">
        <f t="shared" si="4"/>
        <v>506.556349066</v>
      </c>
      <c r="S50" s="1082">
        <f t="shared" si="4"/>
        <v>211.20321155199997</v>
      </c>
      <c r="T50" s="1082">
        <f t="shared" si="4"/>
        <v>6478.3840429919992</v>
      </c>
      <c r="U50" s="1082">
        <f>SUM(B50:T50)</f>
        <v>116856.72088078098</v>
      </c>
      <c r="V50" s="135"/>
      <c r="W50" s="135"/>
      <c r="X50" s="135"/>
    </row>
    <row r="51" spans="1:24" s="42" customFormat="1" ht="11.1" customHeight="1">
      <c r="A51" s="1088" t="s">
        <v>1211</v>
      </c>
      <c r="B51" s="1293">
        <v>2134.4430000000002</v>
      </c>
      <c r="C51" s="1293">
        <v>1910.8457999999998</v>
      </c>
      <c r="D51" s="1293">
        <v>657.09879999999998</v>
      </c>
      <c r="E51" s="1293">
        <v>700.2</v>
      </c>
      <c r="F51" s="1293">
        <v>1812.2732000000001</v>
      </c>
      <c r="G51" s="1293">
        <v>20.383600000000001</v>
      </c>
      <c r="H51" s="1293">
        <v>256.03979999999996</v>
      </c>
      <c r="I51" s="1293">
        <v>696.23219999999992</v>
      </c>
      <c r="J51" s="1293">
        <v>276.19</v>
      </c>
      <c r="K51" s="1293">
        <v>12.292400000000001</v>
      </c>
      <c r="L51" s="1293">
        <v>389.85579999999999</v>
      </c>
      <c r="M51" s="1293">
        <v>0</v>
      </c>
      <c r="N51" s="1293">
        <v>10.269600000000001</v>
      </c>
      <c r="O51" s="1293">
        <v>1052.4784</v>
      </c>
      <c r="P51" s="1293">
        <v>64.107200000000006</v>
      </c>
      <c r="Q51" s="1293">
        <v>232.15519999999998</v>
      </c>
      <c r="R51" s="1293">
        <v>34.620999999999995</v>
      </c>
      <c r="S51" s="1293">
        <v>13.6928</v>
      </c>
      <c r="T51" s="1293">
        <v>537.59799999999996</v>
      </c>
      <c r="U51" s="1293">
        <f t="shared" ref="U51:U56" si="5">SUM(B51:T51)</f>
        <v>10810.7768</v>
      </c>
      <c r="V51" s="135"/>
      <c r="W51" s="135"/>
      <c r="X51" s="135"/>
    </row>
    <row r="52" spans="1:24" s="42" customFormat="1" ht="11.1" customHeight="1">
      <c r="A52" s="1077" t="s">
        <v>1212</v>
      </c>
      <c r="B52" s="1294">
        <v>1984.2111999999997</v>
      </c>
      <c r="C52" s="1294">
        <v>1627.7315999999998</v>
      </c>
      <c r="D52" s="1294">
        <v>529.74019999999996</v>
      </c>
      <c r="E52" s="1294">
        <v>643.01700000000005</v>
      </c>
      <c r="F52" s="1294">
        <v>1571.2487999999998</v>
      </c>
      <c r="G52" s="1294">
        <v>19.527799999999996</v>
      </c>
      <c r="H52" s="1294">
        <v>208.58179999999999</v>
      </c>
      <c r="I52" s="1294">
        <v>532.54099999999994</v>
      </c>
      <c r="J52" s="1294">
        <v>238.92379999999997</v>
      </c>
      <c r="K52" s="1294">
        <v>12.214600000000001</v>
      </c>
      <c r="L52" s="1294">
        <v>319.4468</v>
      </c>
      <c r="M52" s="1294">
        <v>0</v>
      </c>
      <c r="N52" s="1294">
        <v>11.125399999999999</v>
      </c>
      <c r="O52" s="1294">
        <v>812.54319999999996</v>
      </c>
      <c r="P52" s="1294">
        <v>31.042200000000001</v>
      </c>
      <c r="Q52" s="1294">
        <v>268.8768</v>
      </c>
      <c r="R52" s="1294">
        <v>34.620999999999995</v>
      </c>
      <c r="S52" s="1294">
        <v>12.292400000000001</v>
      </c>
      <c r="T52" s="1294">
        <v>439.57</v>
      </c>
      <c r="U52" s="1294">
        <f t="shared" si="5"/>
        <v>9297.2555999999986</v>
      </c>
      <c r="V52" s="135"/>
      <c r="W52" s="135"/>
      <c r="X52" s="135"/>
    </row>
    <row r="53" spans="1:24" s="42" customFormat="1" ht="11.1" customHeight="1">
      <c r="A53" s="1088" t="s">
        <v>1206</v>
      </c>
      <c r="B53" s="1293">
        <v>1990.3000655999997</v>
      </c>
      <c r="C53" s="1293">
        <v>1941.2077608</v>
      </c>
      <c r="D53" s="1293">
        <v>621.39498960000003</v>
      </c>
      <c r="E53" s="1293">
        <v>691.88251439999999</v>
      </c>
      <c r="F53" s="1293">
        <v>1896.7835039999998</v>
      </c>
      <c r="G53" s="1293">
        <v>12.837132</v>
      </c>
      <c r="H53" s="1293">
        <v>248.57355599999997</v>
      </c>
      <c r="I53" s="1293">
        <v>668.15327039999988</v>
      </c>
      <c r="J53" s="1293">
        <v>248.184552</v>
      </c>
      <c r="K53" s="1293">
        <v>18.283187999999999</v>
      </c>
      <c r="L53" s="1293">
        <v>403.94175359999997</v>
      </c>
      <c r="M53" s="1293">
        <v>7.7800799999999989E-2</v>
      </c>
      <c r="N53" s="1293">
        <v>12.603729599999999</v>
      </c>
      <c r="O53" s="1293">
        <v>841.80465599999991</v>
      </c>
      <c r="P53" s="1293">
        <v>36.021770399999994</v>
      </c>
      <c r="Q53" s="1293">
        <v>247.95114960000001</v>
      </c>
      <c r="R53" s="1293">
        <v>34.465754399999994</v>
      </c>
      <c r="S53" s="1293">
        <v>14.470948799999999</v>
      </c>
      <c r="T53" s="1293">
        <v>566.85662879999995</v>
      </c>
      <c r="U53" s="1293">
        <f t="shared" si="5"/>
        <v>10495.7947248</v>
      </c>
      <c r="V53" s="135"/>
      <c r="W53" s="135"/>
      <c r="X53" s="135"/>
    </row>
    <row r="54" spans="1:24" s="42" customFormat="1" ht="11.1" customHeight="1">
      <c r="A54" s="1077" t="s">
        <v>1213</v>
      </c>
      <c r="B54" s="1294">
        <v>1867.9494645</v>
      </c>
      <c r="C54" s="1294">
        <v>1514.4063899999999</v>
      </c>
      <c r="D54" s="1294">
        <v>431.52021750000006</v>
      </c>
      <c r="E54" s="1294">
        <v>594.55626000000007</v>
      </c>
      <c r="F54" s="1294">
        <v>1409.191722</v>
      </c>
      <c r="G54" s="1294">
        <v>7.0817565</v>
      </c>
      <c r="H54" s="1294">
        <v>205.99351050000001</v>
      </c>
      <c r="I54" s="1294">
        <v>515.48961599999996</v>
      </c>
      <c r="J54" s="1294">
        <v>205.60440299999999</v>
      </c>
      <c r="K54" s="1294">
        <v>15.1751925</v>
      </c>
      <c r="L54" s="1294">
        <v>293.85398399999997</v>
      </c>
      <c r="M54" s="1294">
        <v>0.38910750000000005</v>
      </c>
      <c r="N54" s="1294">
        <v>10.116795</v>
      </c>
      <c r="O54" s="1294">
        <v>701.48300099999994</v>
      </c>
      <c r="P54" s="1294">
        <v>66.926490000000001</v>
      </c>
      <c r="Q54" s="1294">
        <v>191.67435449999999</v>
      </c>
      <c r="R54" s="1294">
        <v>37.043033999999999</v>
      </c>
      <c r="S54" s="1294">
        <v>23.035164000000002</v>
      </c>
      <c r="T54" s="1294">
        <v>456.89002650000003</v>
      </c>
      <c r="U54" s="1294">
        <f t="shared" si="5"/>
        <v>8548.3804889999992</v>
      </c>
      <c r="V54" s="135"/>
      <c r="W54" s="135"/>
      <c r="X54" s="135"/>
    </row>
    <row r="55" spans="1:24" s="42" customFormat="1" ht="11.1" customHeight="1">
      <c r="A55" s="1088" t="s">
        <v>1214</v>
      </c>
      <c r="B55" s="1293">
        <v>1759.3278695999998</v>
      </c>
      <c r="C55" s="1293">
        <v>1590.4939595999999</v>
      </c>
      <c r="D55" s="1293">
        <v>517.65262080000002</v>
      </c>
      <c r="E55" s="1293">
        <v>671.09516039999994</v>
      </c>
      <c r="F55" s="1293">
        <v>1509.2966279999998</v>
      </c>
      <c r="G55" s="1293">
        <v>9.7373975999999995</v>
      </c>
      <c r="H55" s="1293">
        <v>235.4251452</v>
      </c>
      <c r="I55" s="1293">
        <v>566.57519100000013</v>
      </c>
      <c r="J55" s="1293">
        <v>228.20062439999998</v>
      </c>
      <c r="K55" s="1293">
        <v>13.271130600000001</v>
      </c>
      <c r="L55" s="1293">
        <v>295.65566100000001</v>
      </c>
      <c r="M55" s="1293">
        <v>7.8527399999999997E-2</v>
      </c>
      <c r="N55" s="1293">
        <v>10.0515072</v>
      </c>
      <c r="O55" s="1293">
        <v>824.69475480000006</v>
      </c>
      <c r="P55" s="1293">
        <v>78.605927399999999</v>
      </c>
      <c r="Q55" s="1293">
        <v>171.03267720000002</v>
      </c>
      <c r="R55" s="1293">
        <v>38.164316400000004</v>
      </c>
      <c r="S55" s="1293">
        <v>13.9778772</v>
      </c>
      <c r="T55" s="1293">
        <v>438.33994679999995</v>
      </c>
      <c r="U55" s="1293">
        <f t="shared" si="5"/>
        <v>8971.6769226000015</v>
      </c>
      <c r="V55" s="135"/>
      <c r="W55" s="135"/>
      <c r="X55" s="135"/>
    </row>
    <row r="56" spans="1:24" s="42" customFormat="1" ht="11.1" customHeight="1">
      <c r="A56" s="1077" t="s">
        <v>1207</v>
      </c>
      <c r="B56" s="1294">
        <v>2155.5630372799997</v>
      </c>
      <c r="C56" s="1294">
        <v>1780.1002262399998</v>
      </c>
      <c r="D56" s="1294">
        <v>581.39226719999999</v>
      </c>
      <c r="E56" s="1294">
        <v>720.91065544000003</v>
      </c>
      <c r="F56" s="1294">
        <v>1824.2954920799998</v>
      </c>
      <c r="G56" s="1294">
        <v>10.71400384</v>
      </c>
      <c r="H56" s="1294">
        <v>279.58823255999999</v>
      </c>
      <c r="I56" s="1294">
        <v>594.5484336799999</v>
      </c>
      <c r="J56" s="1294">
        <v>263.91112399999997</v>
      </c>
      <c r="K56" s="1294">
        <v>18.355609519999998</v>
      </c>
      <c r="L56" s="1294">
        <v>339.38182752</v>
      </c>
      <c r="M56" s="1294">
        <v>7.8779440000000006E-2</v>
      </c>
      <c r="N56" s="1294">
        <v>18.355609519999998</v>
      </c>
      <c r="O56" s="1294">
        <v>882.95996351999986</v>
      </c>
      <c r="P56" s="1294">
        <v>39.389719999999997</v>
      </c>
      <c r="Q56" s="1294">
        <v>214.83153288</v>
      </c>
      <c r="R56" s="1294">
        <v>40.019955519999996</v>
      </c>
      <c r="S56" s="1294">
        <v>16.386123519999998</v>
      </c>
      <c r="T56" s="1294">
        <v>560.75205391999998</v>
      </c>
      <c r="U56" s="1294">
        <f t="shared" si="5"/>
        <v>10341.534647679997</v>
      </c>
      <c r="V56" s="135"/>
      <c r="W56" s="135"/>
      <c r="X56" s="135"/>
    </row>
    <row r="57" spans="1:24" s="42" customFormat="1" ht="11.1" customHeight="1">
      <c r="A57" s="1088" t="s">
        <v>1215</v>
      </c>
      <c r="B57" s="1293">
        <v>1755.0416925330001</v>
      </c>
      <c r="C57" s="1293">
        <v>1730.3139502980002</v>
      </c>
      <c r="D57" s="1293">
        <v>489.21679240800006</v>
      </c>
      <c r="E57" s="1293">
        <v>638.36825350800007</v>
      </c>
      <c r="F57" s="1293">
        <v>1395.6651720510001</v>
      </c>
      <c r="G57" s="1293">
        <v>5.7305561369999998</v>
      </c>
      <c r="H57" s="1293">
        <v>316.04409599400003</v>
      </c>
      <c r="I57" s="1293">
        <v>525.64114922400006</v>
      </c>
      <c r="J57" s="1293">
        <v>215.17060782900003</v>
      </c>
      <c r="K57" s="1293">
        <v>15.307649955000002</v>
      </c>
      <c r="L57" s="1293">
        <v>304.81848602700001</v>
      </c>
      <c r="M57" s="1293">
        <v>0.15700153800000002</v>
      </c>
      <c r="N57" s="1293">
        <v>21.901714551000005</v>
      </c>
      <c r="O57" s="1293">
        <v>757.06141623600001</v>
      </c>
      <c r="P57" s="1293">
        <v>27.239766842999998</v>
      </c>
      <c r="Q57" s="1293">
        <v>196.40892403800001</v>
      </c>
      <c r="R57" s="1293">
        <v>39.250384500000003</v>
      </c>
      <c r="S57" s="1293">
        <v>20.017696095000002</v>
      </c>
      <c r="T57" s="1293">
        <v>579.17867368200007</v>
      </c>
      <c r="U57" s="1293">
        <f t="shared" ref="U57:U70" si="6">SUM(B57:T57)</f>
        <v>9032.5339834469978</v>
      </c>
      <c r="V57" s="135"/>
      <c r="W57" s="135"/>
      <c r="X57" s="135"/>
    </row>
    <row r="58" spans="1:24" s="42" customFormat="1" ht="11.1" customHeight="1">
      <c r="A58" s="1077" t="s">
        <v>1216</v>
      </c>
      <c r="B58" s="1294">
        <v>1809.2813061000002</v>
      </c>
      <c r="C58" s="1294">
        <v>1666.7885222999998</v>
      </c>
      <c r="D58" s="1294">
        <v>462.35530619999997</v>
      </c>
      <c r="E58" s="1294">
        <v>645.53787060000002</v>
      </c>
      <c r="F58" s="1294">
        <v>1400.1055007999998</v>
      </c>
      <c r="G58" s="1294">
        <v>1.1782755</v>
      </c>
      <c r="H58" s="1294">
        <v>298.57501169999995</v>
      </c>
      <c r="I58" s="1294">
        <v>536.42955929999994</v>
      </c>
      <c r="J58" s="1294">
        <v>265.26909089999998</v>
      </c>
      <c r="K58" s="1294">
        <v>18.459649500000001</v>
      </c>
      <c r="L58" s="1294">
        <v>268.7253657</v>
      </c>
      <c r="M58" s="1294">
        <v>0.23565509999999995</v>
      </c>
      <c r="N58" s="1294">
        <v>14.689167900000001</v>
      </c>
      <c r="O58" s="1294">
        <v>767.52866069999993</v>
      </c>
      <c r="P58" s="1294">
        <v>30.163852799999994</v>
      </c>
      <c r="Q58" s="1294">
        <v>178.31235899999999</v>
      </c>
      <c r="R58" s="1294">
        <v>36.133781999999997</v>
      </c>
      <c r="S58" s="1294">
        <v>17.202822300000001</v>
      </c>
      <c r="T58" s="1294">
        <v>508.62225749999999</v>
      </c>
      <c r="U58" s="1294">
        <f t="shared" si="6"/>
        <v>8925.5940159000002</v>
      </c>
      <c r="V58" s="135"/>
      <c r="W58" s="135"/>
      <c r="X58" s="135"/>
    </row>
    <row r="59" spans="1:24" s="42" customFormat="1" ht="11.1" customHeight="1">
      <c r="A59" s="1088" t="s">
        <v>1208</v>
      </c>
      <c r="B59" s="1293">
        <v>2057.5561491200001</v>
      </c>
      <c r="C59" s="1293">
        <v>1803.027671222</v>
      </c>
      <c r="D59" s="1293">
        <v>540.18690210700004</v>
      </c>
      <c r="E59" s="1293">
        <v>716.30241700500005</v>
      </c>
      <c r="F59" s="1293">
        <v>1632.6363026230001</v>
      </c>
      <c r="G59" s="1293">
        <v>1.56825926</v>
      </c>
      <c r="H59" s="1293">
        <v>318.35662977999999</v>
      </c>
      <c r="I59" s="1293">
        <v>604.485531767</v>
      </c>
      <c r="J59" s="1293">
        <v>281.18888531800002</v>
      </c>
      <c r="K59" s="1293">
        <v>20.387370380000004</v>
      </c>
      <c r="L59" s="1293">
        <v>311.45628903600004</v>
      </c>
      <c r="M59" s="1293">
        <v>7.8412963000000002E-2</v>
      </c>
      <c r="N59" s="1293">
        <v>20.073718528000001</v>
      </c>
      <c r="O59" s="1293">
        <v>958.36323378600002</v>
      </c>
      <c r="P59" s="1293">
        <v>41.480457427000005</v>
      </c>
      <c r="Q59" s="1293">
        <v>211.16610935900002</v>
      </c>
      <c r="R59" s="1293">
        <v>50.341122246000005</v>
      </c>
      <c r="S59" s="1293">
        <v>15.604179637000001</v>
      </c>
      <c r="T59" s="1293">
        <v>496.35405579000002</v>
      </c>
      <c r="U59" s="1293">
        <f t="shared" si="6"/>
        <v>10080.613697353996</v>
      </c>
      <c r="V59" s="135"/>
      <c r="W59" s="135"/>
      <c r="X59" s="135"/>
    </row>
    <row r="60" spans="1:24" s="42" customFormat="1" ht="11.1" customHeight="1">
      <c r="A60" s="1077" t="s">
        <v>1217</v>
      </c>
      <c r="B60" s="1294">
        <v>1779.288</v>
      </c>
      <c r="C60" s="1294">
        <v>1754.3568000000002</v>
      </c>
      <c r="D60" s="1294">
        <v>542.29280000000006</v>
      </c>
      <c r="E60" s="1294">
        <v>598.74080000000004</v>
      </c>
      <c r="F60" s="1294">
        <v>1498.2239999999999</v>
      </c>
      <c r="G60" s="1294">
        <v>1.1759999999999999</v>
      </c>
      <c r="H60" s="1294">
        <v>278.71199999999999</v>
      </c>
      <c r="I60" s="1294">
        <v>554.3664</v>
      </c>
      <c r="J60" s="1294">
        <v>245.86240000000004</v>
      </c>
      <c r="K60" s="1294">
        <v>15.131200000000002</v>
      </c>
      <c r="L60" s="1294">
        <v>304.976</v>
      </c>
      <c r="M60" s="1294">
        <v>0.15679999999999999</v>
      </c>
      <c r="N60" s="1294">
        <v>15.288</v>
      </c>
      <c r="O60" s="1294">
        <v>942.52480000000014</v>
      </c>
      <c r="P60" s="1294">
        <v>32.143999999999998</v>
      </c>
      <c r="Q60" s="1294">
        <v>212.30720000000002</v>
      </c>
      <c r="R60" s="1294">
        <v>53.78240000000001</v>
      </c>
      <c r="S60" s="1294">
        <v>14.112</v>
      </c>
      <c r="T60" s="1294">
        <v>495.17439999999999</v>
      </c>
      <c r="U60" s="1294">
        <f t="shared" si="6"/>
        <v>9338.616</v>
      </c>
      <c r="V60" s="135"/>
      <c r="W60" s="135"/>
      <c r="X60" s="135"/>
    </row>
    <row r="61" spans="1:24" s="42" customFormat="1" ht="11.1" customHeight="1">
      <c r="A61" s="1088" t="s">
        <v>1218</v>
      </c>
      <c r="B61" s="1293">
        <v>1793.0863999999999</v>
      </c>
      <c r="C61" s="1293">
        <v>1856.9824000000001</v>
      </c>
      <c r="D61" s="1293">
        <v>562.91200000000003</v>
      </c>
      <c r="E61" s="1293">
        <v>652.05280000000005</v>
      </c>
      <c r="F61" s="1293">
        <v>1359.1424</v>
      </c>
      <c r="G61" s="1293">
        <v>2.2736000000000001</v>
      </c>
      <c r="H61" s="1293">
        <v>332.57280000000003</v>
      </c>
      <c r="I61" s="1293">
        <v>578.35680000000002</v>
      </c>
      <c r="J61" s="1293">
        <v>261.85599999999999</v>
      </c>
      <c r="K61" s="1293">
        <v>20.932800000000004</v>
      </c>
      <c r="L61" s="1293">
        <v>271.73440000000005</v>
      </c>
      <c r="M61" s="1293">
        <v>7.8400000000000011E-2</v>
      </c>
      <c r="N61" s="1293">
        <v>11.2896</v>
      </c>
      <c r="O61" s="1293">
        <v>885.05760000000009</v>
      </c>
      <c r="P61" s="1293">
        <v>33.555199999999999</v>
      </c>
      <c r="Q61" s="1293">
        <v>260.75840000000005</v>
      </c>
      <c r="R61" s="1293">
        <v>54.488</v>
      </c>
      <c r="S61" s="1293">
        <v>20.540800000000001</v>
      </c>
      <c r="T61" s="1293">
        <v>563.8528</v>
      </c>
      <c r="U61" s="1293">
        <f t="shared" si="6"/>
        <v>9521.5232000000033</v>
      </c>
      <c r="V61" s="135"/>
      <c r="W61" s="135"/>
      <c r="X61" s="135"/>
    </row>
    <row r="62" spans="1:24" s="42" customFormat="1" ht="11.1" customHeight="1">
      <c r="A62" s="1077" t="s">
        <v>1209</v>
      </c>
      <c r="B62" s="1294">
        <v>2079.7952</v>
      </c>
      <c r="C62" s="1294">
        <v>2072.5040000000004</v>
      </c>
      <c r="D62" s="1294">
        <v>811.44</v>
      </c>
      <c r="E62" s="1294">
        <v>850.24800000000016</v>
      </c>
      <c r="F62" s="1294">
        <v>1580.3872000000003</v>
      </c>
      <c r="G62" s="1294">
        <v>3.6848000000000001</v>
      </c>
      <c r="H62" s="1294">
        <v>400.7808</v>
      </c>
      <c r="I62" s="1294">
        <v>759.8528</v>
      </c>
      <c r="J62" s="1294">
        <v>315.79520000000002</v>
      </c>
      <c r="K62" s="1294">
        <v>24.852800000000002</v>
      </c>
      <c r="L62" s="1294">
        <v>303.09440000000001</v>
      </c>
      <c r="M62" s="1294">
        <v>7.8399999999999997E-2</v>
      </c>
      <c r="N62" s="1294">
        <v>22.5792</v>
      </c>
      <c r="O62" s="1294">
        <v>937.50720000000001</v>
      </c>
      <c r="P62" s="1294">
        <v>59.897599999999997</v>
      </c>
      <c r="Q62" s="1294">
        <v>351.23200000000003</v>
      </c>
      <c r="R62" s="1294">
        <v>53.625599999999999</v>
      </c>
      <c r="S62" s="1294">
        <v>29.8704</v>
      </c>
      <c r="T62" s="1294">
        <v>835.19520000000011</v>
      </c>
      <c r="U62" s="1294">
        <f t="shared" si="6"/>
        <v>11492.420800000002</v>
      </c>
      <c r="V62" s="135"/>
      <c r="W62" s="135"/>
      <c r="X62" s="135"/>
    </row>
    <row r="63" spans="1:24" s="42" customFormat="1" ht="9.75" customHeight="1">
      <c r="A63" s="1089" t="s">
        <v>2809</v>
      </c>
      <c r="B63" s="1293"/>
      <c r="C63" s="1293"/>
      <c r="D63" s="1293"/>
      <c r="E63" s="1293"/>
      <c r="F63" s="1293"/>
      <c r="G63" s="1293"/>
      <c r="H63" s="1293"/>
      <c r="I63" s="1293"/>
      <c r="J63" s="1293"/>
      <c r="K63" s="1293"/>
      <c r="L63" s="1293"/>
      <c r="M63" s="1293"/>
      <c r="N63" s="1293"/>
      <c r="O63" s="1293"/>
      <c r="P63" s="1293"/>
      <c r="Q63" s="1293"/>
      <c r="R63" s="1293"/>
      <c r="S63" s="1293"/>
      <c r="T63" s="1293"/>
      <c r="U63" s="1293"/>
      <c r="V63" s="135"/>
      <c r="W63" s="135"/>
      <c r="X63" s="135"/>
    </row>
    <row r="64" spans="1:24" s="42" customFormat="1" ht="11.1" customHeight="1">
      <c r="A64" s="1077" t="s">
        <v>1211</v>
      </c>
      <c r="B64" s="1294">
        <v>1528.3296</v>
      </c>
      <c r="C64" s="1294">
        <v>1415.7472000000002</v>
      </c>
      <c r="D64" s="1294">
        <v>317.91199999999998</v>
      </c>
      <c r="E64" s="1294">
        <v>627.43520000000012</v>
      </c>
      <c r="F64" s="1294">
        <v>1006.8128</v>
      </c>
      <c r="G64" s="1294">
        <v>1.2544</v>
      </c>
      <c r="H64" s="1294">
        <v>342.52960000000002</v>
      </c>
      <c r="I64" s="1294">
        <v>567.22399999999993</v>
      </c>
      <c r="J64" s="1294">
        <v>224.1456</v>
      </c>
      <c r="K64" s="1294">
        <v>13.484800000000002</v>
      </c>
      <c r="L64" s="1294">
        <v>216.93280000000004</v>
      </c>
      <c r="M64" s="1294">
        <v>7.8399999999999997E-2</v>
      </c>
      <c r="N64" s="1294">
        <v>12.622400000000003</v>
      </c>
      <c r="O64" s="1294">
        <v>825.31679999999994</v>
      </c>
      <c r="P64" s="1294">
        <v>41.316800000000001</v>
      </c>
      <c r="Q64" s="1294">
        <v>251.50720000000001</v>
      </c>
      <c r="R64" s="1294">
        <v>63.660799999999995</v>
      </c>
      <c r="S64" s="1294">
        <v>11.838400000000002</v>
      </c>
      <c r="T64" s="1294">
        <v>414.89280000000008</v>
      </c>
      <c r="U64" s="1294">
        <f t="shared" si="6"/>
        <v>7883.0415999999987</v>
      </c>
      <c r="V64" s="135"/>
      <c r="W64" s="135"/>
      <c r="X64" s="135"/>
    </row>
    <row r="65" spans="1:24" s="42" customFormat="1" ht="11.1" customHeight="1">
      <c r="A65" s="1088" t="s">
        <v>1212</v>
      </c>
      <c r="B65" s="1293">
        <v>1810.4912000000002</v>
      </c>
      <c r="C65" s="1293">
        <v>1577.6432</v>
      </c>
      <c r="D65" s="1293">
        <v>499.9568000000001</v>
      </c>
      <c r="E65" s="1293">
        <v>687.48960000000011</v>
      </c>
      <c r="F65" s="1293">
        <v>1203.1264000000001</v>
      </c>
      <c r="G65" s="1293">
        <v>1.9600000000000002</v>
      </c>
      <c r="H65" s="1293">
        <v>354.52480000000003</v>
      </c>
      <c r="I65" s="1293">
        <v>603.28800000000001</v>
      </c>
      <c r="J65" s="1293">
        <v>248.99840000000003</v>
      </c>
      <c r="K65" s="1293">
        <v>17.4832</v>
      </c>
      <c r="L65" s="1293">
        <v>232.45600000000002</v>
      </c>
      <c r="M65" s="1293">
        <v>0</v>
      </c>
      <c r="N65" s="1293">
        <v>15.288000000000002</v>
      </c>
      <c r="O65" s="1293">
        <v>904.0304000000001</v>
      </c>
      <c r="P65" s="1293">
        <v>39.827200000000005</v>
      </c>
      <c r="Q65" s="1293">
        <v>430.25920000000008</v>
      </c>
      <c r="R65" s="1293">
        <v>71.265600000000006</v>
      </c>
      <c r="S65" s="1293">
        <v>14.7392</v>
      </c>
      <c r="T65" s="1293">
        <v>566.59680000000003</v>
      </c>
      <c r="U65" s="1293">
        <f t="shared" si="6"/>
        <v>9279.4239999999991</v>
      </c>
      <c r="V65" s="135"/>
      <c r="W65" s="135"/>
      <c r="X65" s="135"/>
    </row>
    <row r="66" spans="1:24" s="42" customFormat="1" ht="11.1" customHeight="1">
      <c r="A66" s="1077" t="s">
        <v>1206</v>
      </c>
      <c r="B66" s="1294">
        <v>1393.4816000000003</v>
      </c>
      <c r="C66" s="1294">
        <v>1355.6928</v>
      </c>
      <c r="D66" s="1294">
        <v>506.30720000000002</v>
      </c>
      <c r="E66" s="1294">
        <v>612.46080000000006</v>
      </c>
      <c r="F66" s="1294">
        <v>1161.7312000000002</v>
      </c>
      <c r="G66" s="1294">
        <v>2.0384000000000002</v>
      </c>
      <c r="H66" s="1294">
        <v>356.01439999999997</v>
      </c>
      <c r="I66" s="1294">
        <v>630.25760000000014</v>
      </c>
      <c r="J66" s="1294">
        <v>212.6208</v>
      </c>
      <c r="K66" s="1294">
        <v>18.032</v>
      </c>
      <c r="L66" s="1294">
        <v>209.1712</v>
      </c>
      <c r="M66" s="1294">
        <v>0</v>
      </c>
      <c r="N66" s="1294">
        <v>13.955200000000001</v>
      </c>
      <c r="O66" s="1294">
        <v>791.3696000000001</v>
      </c>
      <c r="P66" s="1294">
        <v>37.867200000000004</v>
      </c>
      <c r="Q66" s="1294">
        <v>325.51680000000005</v>
      </c>
      <c r="R66" s="1294">
        <v>47.980800000000002</v>
      </c>
      <c r="S66" s="1294">
        <v>11.368</v>
      </c>
      <c r="T66" s="1294">
        <v>598.19200000000001</v>
      </c>
      <c r="U66" s="1294">
        <f t="shared" si="6"/>
        <v>8284.0576000000019</v>
      </c>
      <c r="V66" s="135"/>
      <c r="W66" s="135"/>
      <c r="X66" s="135"/>
    </row>
    <row r="67" spans="1:24" s="42" customFormat="1" ht="11.1" customHeight="1">
      <c r="A67" s="1088" t="s">
        <v>1213</v>
      </c>
      <c r="B67" s="1293">
        <v>1481.4464000000003</v>
      </c>
      <c r="C67" s="1293">
        <v>1333.7408</v>
      </c>
      <c r="D67" s="1293">
        <v>356.87680000000006</v>
      </c>
      <c r="E67" s="1293">
        <v>687.80320000000006</v>
      </c>
      <c r="F67" s="1293">
        <v>1019.2783999999999</v>
      </c>
      <c r="G67" s="1293">
        <v>1.5680000000000001</v>
      </c>
      <c r="H67" s="1293">
        <v>352.40800000000002</v>
      </c>
      <c r="I67" s="1293">
        <v>548.32960000000003</v>
      </c>
      <c r="J67" s="1293">
        <v>212.93440000000001</v>
      </c>
      <c r="K67" s="1293">
        <v>27.910400000000003</v>
      </c>
      <c r="L67" s="1293">
        <v>229.71200000000005</v>
      </c>
      <c r="M67" s="1293">
        <v>0</v>
      </c>
      <c r="N67" s="1293">
        <v>11.838400000000002</v>
      </c>
      <c r="O67" s="1293">
        <v>784.31360000000018</v>
      </c>
      <c r="P67" s="1293">
        <v>33.084800000000001</v>
      </c>
      <c r="Q67" s="1293">
        <v>267.10880000000003</v>
      </c>
      <c r="R67" s="1293">
        <v>40.689600000000006</v>
      </c>
      <c r="S67" s="1293">
        <v>11.838400000000002</v>
      </c>
      <c r="T67" s="1293">
        <v>525.12320000000011</v>
      </c>
      <c r="U67" s="1293">
        <f t="shared" si="6"/>
        <v>7926.0048000000006</v>
      </c>
      <c r="V67" s="135"/>
      <c r="W67" s="135"/>
      <c r="X67" s="135"/>
    </row>
    <row r="68" spans="1:24" s="42" customFormat="1" ht="11.1" customHeight="1">
      <c r="A68" s="1077" t="s">
        <v>1214</v>
      </c>
      <c r="B68" s="1294">
        <v>1344.9189600000002</v>
      </c>
      <c r="C68" s="1294">
        <v>1172.75928</v>
      </c>
      <c r="D68" s="1294">
        <v>455.61054000000001</v>
      </c>
      <c r="E68" s="1294">
        <v>674.10882000000004</v>
      </c>
      <c r="F68" s="1294">
        <v>969.49775999999997</v>
      </c>
      <c r="G68" s="1294">
        <v>1.9635000000000002</v>
      </c>
      <c r="H68" s="1294">
        <v>322.56378000000007</v>
      </c>
      <c r="I68" s="1294">
        <v>528.10295999999994</v>
      </c>
      <c r="J68" s="1294">
        <v>176.55792000000002</v>
      </c>
      <c r="K68" s="1294">
        <v>15.62946</v>
      </c>
      <c r="L68" s="1294">
        <v>264.28710000000001</v>
      </c>
      <c r="M68" s="1294">
        <v>0</v>
      </c>
      <c r="N68" s="1294">
        <v>11.07414</v>
      </c>
      <c r="O68" s="1294">
        <v>699.63432</v>
      </c>
      <c r="P68" s="1294">
        <v>29.923740000000002</v>
      </c>
      <c r="Q68" s="1294">
        <v>255.41208000000006</v>
      </c>
      <c r="R68" s="1294">
        <v>38.170440000000006</v>
      </c>
      <c r="S68" s="1294">
        <v>11.859540000000001</v>
      </c>
      <c r="T68" s="1294">
        <v>499.98564000000005</v>
      </c>
      <c r="U68" s="1294">
        <f t="shared" si="6"/>
        <v>7472.0599800000018</v>
      </c>
      <c r="V68" s="135"/>
      <c r="W68" s="135"/>
      <c r="X68" s="135"/>
    </row>
    <row r="69" spans="1:24" s="42" customFormat="1" ht="11.1" customHeight="1">
      <c r="A69" s="1088" t="s">
        <v>1207</v>
      </c>
      <c r="B69" s="1293">
        <v>1427.9096895600001</v>
      </c>
      <c r="C69" s="1293">
        <v>1177.7102820349999</v>
      </c>
      <c r="D69" s="1293">
        <v>442.63624317100005</v>
      </c>
      <c r="E69" s="1293">
        <v>673.5289247610001</v>
      </c>
      <c r="F69" s="1293">
        <v>993.70536343000003</v>
      </c>
      <c r="G69" s="1293">
        <v>1.2608474080000001</v>
      </c>
      <c r="H69" s="1293">
        <v>369.82230535900004</v>
      </c>
      <c r="I69" s="1293">
        <v>510.24918542500001</v>
      </c>
      <c r="J69" s="1293">
        <v>195.58895416600001</v>
      </c>
      <c r="K69" s="1293">
        <v>14.657351118000003</v>
      </c>
      <c r="L69" s="1293">
        <v>267.06324160700001</v>
      </c>
      <c r="M69" s="1293">
        <v>0</v>
      </c>
      <c r="N69" s="1293">
        <v>12.687277043000002</v>
      </c>
      <c r="O69" s="1293">
        <v>632.78779288999999</v>
      </c>
      <c r="P69" s="1293">
        <v>26.950613346000001</v>
      </c>
      <c r="Q69" s="1293">
        <v>260.68020160399999</v>
      </c>
      <c r="R69" s="1293">
        <v>35.934151128000003</v>
      </c>
      <c r="S69" s="1293">
        <v>12.450868154000002</v>
      </c>
      <c r="T69" s="1293">
        <v>499.45317949400004</v>
      </c>
      <c r="U69" s="1293">
        <f t="shared" si="6"/>
        <v>7555.0764716990006</v>
      </c>
      <c r="V69" s="135"/>
      <c r="W69" s="135"/>
      <c r="X69" s="135"/>
    </row>
    <row r="70" spans="1:24" s="42" customFormat="1" ht="11.1" customHeight="1" thickBot="1">
      <c r="A70" s="1592" t="s">
        <v>1215</v>
      </c>
      <c r="B70" s="1593">
        <v>1369.2104375999998</v>
      </c>
      <c r="C70" s="1593">
        <v>1198.6505333999999</v>
      </c>
      <c r="D70" s="1593">
        <v>533.20669079999993</v>
      </c>
      <c r="E70" s="1593">
        <v>663.07824059999996</v>
      </c>
      <c r="F70" s="1593">
        <v>1050.1695812</v>
      </c>
      <c r="G70" s="1593">
        <v>1.182801</v>
      </c>
      <c r="H70" s="1593">
        <v>396.15948159999999</v>
      </c>
      <c r="I70" s="1593">
        <v>544.32502019999993</v>
      </c>
      <c r="J70" s="1593">
        <v>181.75708700000001</v>
      </c>
      <c r="K70" s="1593">
        <v>18.372842200000001</v>
      </c>
      <c r="L70" s="1593">
        <v>310.05156879999998</v>
      </c>
      <c r="M70" s="1593">
        <v>7.885339999999999E-2</v>
      </c>
      <c r="N70" s="1593">
        <v>13.168517799999998</v>
      </c>
      <c r="O70" s="1593">
        <v>644.38998479999987</v>
      </c>
      <c r="P70" s="1593">
        <v>31.304799800000001</v>
      </c>
      <c r="Q70" s="1593">
        <v>351.05533679999996</v>
      </c>
      <c r="R70" s="1593">
        <v>36.036003799999996</v>
      </c>
      <c r="S70" s="1593">
        <v>13.483931399999998</v>
      </c>
      <c r="T70" s="1593">
        <v>604.88443139999993</v>
      </c>
      <c r="U70" s="1593">
        <f t="shared" si="6"/>
        <v>7960.5661435999991</v>
      </c>
      <c r="V70" s="135"/>
      <c r="W70" s="135"/>
      <c r="X70" s="135"/>
    </row>
    <row r="71" spans="1:24" s="239" customFormat="1" ht="11.1" customHeight="1">
      <c r="A71" s="86" t="s">
        <v>1271</v>
      </c>
      <c r="B71" s="2041" t="s">
        <v>1582</v>
      </c>
      <c r="C71" s="2041"/>
      <c r="D71" s="2041"/>
      <c r="E71" s="2041"/>
      <c r="F71" s="2041"/>
      <c r="G71" s="2041"/>
      <c r="H71" s="2041"/>
      <c r="I71" s="2041"/>
      <c r="J71" s="2041"/>
      <c r="K71" s="8" t="s">
        <v>1953</v>
      </c>
      <c r="M71" s="337"/>
      <c r="N71" s="337"/>
      <c r="O71" s="337"/>
      <c r="P71" s="337"/>
      <c r="Q71" s="337"/>
      <c r="R71" s="337"/>
      <c r="S71" s="337"/>
      <c r="T71" s="21"/>
      <c r="U71" s="236"/>
      <c r="V71" s="21"/>
      <c r="W71" s="21"/>
      <c r="X71" s="21"/>
    </row>
    <row r="72" spans="1:24" s="11" customFormat="1" ht="11.1" customHeight="1">
      <c r="A72" s="86" t="s">
        <v>1583</v>
      </c>
      <c r="B72" s="257" t="s">
        <v>2810</v>
      </c>
      <c r="C72" s="7"/>
      <c r="D72" s="7"/>
      <c r="E72" s="7"/>
      <c r="F72" s="7"/>
      <c r="G72" s="7"/>
      <c r="H72" s="7"/>
      <c r="I72" s="7"/>
      <c r="J72" s="7"/>
      <c r="M72" s="37"/>
      <c r="N72" s="37"/>
      <c r="O72" s="37"/>
      <c r="P72" s="37"/>
      <c r="Q72" s="37"/>
      <c r="R72" s="37"/>
      <c r="S72" s="37"/>
      <c r="T72" s="37"/>
      <c r="U72" s="37"/>
    </row>
    <row r="73" spans="1:24" s="11" customFormat="1"/>
    <row r="74" spans="1:24" s="11" customFormat="1">
      <c r="U74" s="1294"/>
    </row>
    <row r="75" spans="1:24" s="11" customFormat="1"/>
    <row r="76" spans="1:24" s="11" customFormat="1"/>
    <row r="77" spans="1:24" s="11" customFormat="1"/>
    <row r="78" spans="1:24" s="11" customFormat="1"/>
    <row r="79" spans="1:24" s="11" customFormat="1"/>
    <row r="80" spans="1:24" s="11" customFormat="1"/>
    <row r="81" s="11" customFormat="1"/>
    <row r="82" s="11" customFormat="1"/>
    <row r="83" s="11" customFormat="1"/>
    <row r="84" s="11" customFormat="1"/>
    <row r="85" s="11" customFormat="1"/>
    <row r="86" s="11" customFormat="1"/>
    <row r="87" s="11" customFormat="1"/>
    <row r="88" s="11" customFormat="1"/>
    <row r="89" s="11" customFormat="1"/>
    <row r="90" s="11" customFormat="1"/>
    <row r="91" s="11" customFormat="1"/>
    <row r="92" s="11" customFormat="1"/>
    <row r="93" s="11" customFormat="1"/>
    <row r="94" s="11" customFormat="1"/>
    <row r="95" s="11" customFormat="1"/>
    <row r="96" s="11" customFormat="1"/>
    <row r="97" s="11" customFormat="1"/>
    <row r="98" s="11" customFormat="1"/>
    <row r="99" s="11" customFormat="1"/>
    <row r="100" s="11" customFormat="1"/>
    <row r="101" s="11" customFormat="1"/>
    <row r="102" s="11" customFormat="1"/>
    <row r="103" s="11" customFormat="1"/>
    <row r="104" s="11" customFormat="1"/>
    <row r="105" s="11" customFormat="1"/>
    <row r="106" s="11" customFormat="1"/>
    <row r="107" s="11" customFormat="1"/>
    <row r="108" s="11" customFormat="1"/>
    <row r="109" s="11" customFormat="1"/>
    <row r="110" s="11" customFormat="1"/>
    <row r="111" s="11" customFormat="1"/>
    <row r="112" s="11" customFormat="1"/>
    <row r="113" s="11" customFormat="1"/>
    <row r="114" s="11" customFormat="1"/>
    <row r="115" s="11" customFormat="1"/>
    <row r="116" s="11" customFormat="1"/>
    <row r="117" s="11" customFormat="1"/>
    <row r="118" s="11" customFormat="1"/>
    <row r="119" s="11" customFormat="1"/>
    <row r="120" s="11" customFormat="1"/>
    <row r="121" s="11" customFormat="1"/>
    <row r="122" s="11" customFormat="1"/>
    <row r="123" s="11" customFormat="1"/>
    <row r="124" s="11" customFormat="1"/>
    <row r="125" s="11" customFormat="1"/>
    <row r="126" s="11" customFormat="1"/>
    <row r="127" s="11" customFormat="1"/>
    <row r="128" s="11" customFormat="1"/>
    <row r="129" s="11" customFormat="1"/>
    <row r="130" s="11" customFormat="1"/>
    <row r="131" s="11" customFormat="1"/>
    <row r="132" s="11" customFormat="1"/>
    <row r="133" s="11" customFormat="1"/>
    <row r="134" s="11" customFormat="1"/>
    <row r="135" s="11" customFormat="1"/>
    <row r="136" s="11" customFormat="1"/>
    <row r="137" s="11" customFormat="1"/>
    <row r="138" s="11" customFormat="1"/>
    <row r="139" s="11" customFormat="1"/>
    <row r="140" s="11" customFormat="1"/>
    <row r="141" s="11" customFormat="1"/>
    <row r="142" s="11" customFormat="1"/>
    <row r="143" s="11" customFormat="1"/>
    <row r="144" s="11" customFormat="1"/>
    <row r="145" s="11" customFormat="1"/>
    <row r="146" s="11" customFormat="1"/>
    <row r="147" s="11" customFormat="1"/>
    <row r="148" s="11" customFormat="1"/>
    <row r="149" s="11" customFormat="1"/>
    <row r="150" s="11" customFormat="1"/>
    <row r="151" s="11" customFormat="1"/>
    <row r="152" s="11" customFormat="1"/>
    <row r="153" s="11" customFormat="1"/>
    <row r="154" s="11" customFormat="1"/>
    <row r="155" s="11" customFormat="1"/>
    <row r="156" s="11" customFormat="1"/>
    <row r="157" s="11" customFormat="1"/>
    <row r="158" s="11" customFormat="1"/>
    <row r="159" s="11" customFormat="1"/>
    <row r="160" s="11" customFormat="1"/>
    <row r="161" s="11" customFormat="1"/>
    <row r="162" s="11" customFormat="1"/>
    <row r="163" s="11" customFormat="1"/>
    <row r="164" s="11" customFormat="1"/>
    <row r="165" s="11" customFormat="1"/>
    <row r="166" s="11" customFormat="1"/>
    <row r="167" s="11" customFormat="1"/>
    <row r="168" s="11" customFormat="1"/>
    <row r="169" s="11" customFormat="1"/>
    <row r="170" s="11" customFormat="1"/>
    <row r="171" s="11" customFormat="1"/>
    <row r="172" s="11" customFormat="1"/>
    <row r="173" s="11" customFormat="1"/>
    <row r="174" s="11" customFormat="1"/>
    <row r="175" s="11" customFormat="1"/>
    <row r="176" s="11" customFormat="1"/>
    <row r="177" s="11" customFormat="1"/>
    <row r="178" s="11" customFormat="1"/>
    <row r="179" s="11" customFormat="1"/>
    <row r="180" s="11" customFormat="1"/>
    <row r="181" s="11" customFormat="1"/>
    <row r="182" s="11" customFormat="1"/>
    <row r="183" s="11" customFormat="1"/>
    <row r="184" s="11" customFormat="1"/>
    <row r="185" s="11" customFormat="1"/>
    <row r="186" s="11" customFormat="1"/>
    <row r="187" s="11" customFormat="1"/>
    <row r="188" s="11" customFormat="1"/>
    <row r="189" s="11" customFormat="1"/>
    <row r="190" s="11" customFormat="1"/>
    <row r="191" s="11" customFormat="1"/>
    <row r="192" s="11" customFormat="1"/>
    <row r="193" s="11" customFormat="1"/>
    <row r="194" s="11" customFormat="1"/>
    <row r="195" s="11" customFormat="1"/>
    <row r="196" s="11" customFormat="1"/>
    <row r="197" s="11" customFormat="1"/>
    <row r="198" s="11" customFormat="1"/>
    <row r="199" s="11" customFormat="1"/>
    <row r="200" s="11" customFormat="1"/>
    <row r="201" s="11" customFormat="1"/>
    <row r="202" s="11" customFormat="1"/>
    <row r="203" s="11" customFormat="1"/>
    <row r="204" s="11" customFormat="1"/>
    <row r="205" s="11" customFormat="1"/>
    <row r="206" s="11" customFormat="1"/>
    <row r="207" s="11" customFormat="1"/>
    <row r="208" s="11" customFormat="1"/>
    <row r="209" s="11" customFormat="1"/>
    <row r="210" s="11" customFormat="1"/>
    <row r="211" s="11" customFormat="1"/>
    <row r="212" s="11" customFormat="1"/>
    <row r="213" s="11" customFormat="1"/>
    <row r="214" s="11" customFormat="1"/>
    <row r="215" s="11" customFormat="1"/>
    <row r="216" s="11" customFormat="1"/>
    <row r="217" s="11" customFormat="1"/>
    <row r="218" s="11" customFormat="1"/>
    <row r="219" s="11" customFormat="1"/>
    <row r="220" s="11" customFormat="1"/>
    <row r="221" s="11" customFormat="1"/>
    <row r="222" s="11" customFormat="1"/>
    <row r="223" s="11" customFormat="1"/>
    <row r="224" s="11" customFormat="1"/>
    <row r="225" s="11" customFormat="1"/>
    <row r="226" s="11" customFormat="1"/>
    <row r="227" s="11" customFormat="1"/>
    <row r="228" s="11" customFormat="1"/>
    <row r="229" s="11" customFormat="1"/>
    <row r="230" s="11" customFormat="1"/>
    <row r="231" s="11" customFormat="1"/>
    <row r="232" s="11" customFormat="1"/>
    <row r="233" s="11" customFormat="1"/>
    <row r="234" s="11" customFormat="1"/>
    <row r="235" s="11" customFormat="1"/>
    <row r="236" s="11" customFormat="1"/>
    <row r="237" s="11" customFormat="1"/>
    <row r="238" s="11" customFormat="1"/>
    <row r="239" s="11" customFormat="1"/>
    <row r="240" s="11" customFormat="1"/>
    <row r="241" s="11" customFormat="1"/>
    <row r="242" s="11" customFormat="1"/>
    <row r="243" s="11" customFormat="1"/>
    <row r="244" s="11" customFormat="1"/>
    <row r="245" s="11" customFormat="1"/>
    <row r="246" s="11" customFormat="1"/>
    <row r="247" s="11" customFormat="1"/>
    <row r="248" s="11" customFormat="1"/>
    <row r="249" s="11" customFormat="1"/>
    <row r="250" s="11" customFormat="1"/>
    <row r="251" s="11" customFormat="1"/>
    <row r="252" s="11" customFormat="1"/>
    <row r="253" s="11" customFormat="1"/>
    <row r="254" s="11" customFormat="1"/>
    <row r="255" s="11" customFormat="1"/>
    <row r="256" s="11" customFormat="1"/>
    <row r="257" s="11" customFormat="1"/>
    <row r="258" s="11" customFormat="1"/>
    <row r="259" s="11" customFormat="1"/>
    <row r="260" s="11" customFormat="1"/>
    <row r="261" s="11" customFormat="1"/>
    <row r="262" s="11" customFormat="1"/>
    <row r="263" s="11" customFormat="1"/>
    <row r="264" s="11" customFormat="1"/>
    <row r="265" s="11" customFormat="1"/>
    <row r="266" s="11" customFormat="1"/>
    <row r="267" s="11" customFormat="1"/>
    <row r="268" s="11" customFormat="1"/>
    <row r="269" s="11" customFormat="1"/>
    <row r="270" s="11" customFormat="1"/>
    <row r="271" s="11" customFormat="1"/>
    <row r="272" s="11" customFormat="1"/>
    <row r="273" s="11" customFormat="1"/>
    <row r="274" s="11" customFormat="1"/>
    <row r="275" s="11" customFormat="1"/>
    <row r="276" s="11" customFormat="1"/>
    <row r="277" s="11" customFormat="1"/>
    <row r="278" s="11" customFormat="1"/>
    <row r="279" s="11" customFormat="1"/>
    <row r="280" s="11" customFormat="1"/>
    <row r="281" s="11" customFormat="1"/>
    <row r="282" s="11" customFormat="1"/>
    <row r="283" s="11" customFormat="1"/>
    <row r="284" s="11" customFormat="1"/>
    <row r="285" s="11" customFormat="1"/>
    <row r="286" s="11" customFormat="1"/>
    <row r="287" s="11" customFormat="1"/>
    <row r="288" s="11" customFormat="1"/>
    <row r="289" s="11" customFormat="1"/>
    <row r="290" s="11" customFormat="1"/>
    <row r="291" s="11" customFormat="1"/>
    <row r="292" s="11" customFormat="1"/>
    <row r="293" s="11" customFormat="1"/>
    <row r="294" s="11" customFormat="1"/>
    <row r="295" s="11" customFormat="1"/>
    <row r="296" s="11" customFormat="1"/>
    <row r="297" s="11" customFormat="1"/>
    <row r="298" s="11" customFormat="1"/>
    <row r="299" s="11" customFormat="1"/>
    <row r="300" s="11" customFormat="1"/>
    <row r="301" s="11" customFormat="1"/>
    <row r="302" s="11" customFormat="1"/>
    <row r="303" s="11" customFormat="1"/>
    <row r="304" s="11" customFormat="1"/>
    <row r="305" s="11" customFormat="1"/>
    <row r="306" s="11" customFormat="1"/>
    <row r="307" s="11" customFormat="1"/>
    <row r="308" s="11" customFormat="1"/>
    <row r="309" s="11" customFormat="1"/>
    <row r="310" s="11" customFormat="1"/>
    <row r="311" s="11" customFormat="1"/>
    <row r="312" s="11" customFormat="1"/>
    <row r="313" s="11" customFormat="1"/>
    <row r="314" s="11" customFormat="1"/>
    <row r="315" s="11" customFormat="1"/>
    <row r="316" s="11" customFormat="1"/>
    <row r="317" s="11" customFormat="1"/>
    <row r="318" s="11" customFormat="1"/>
    <row r="319" s="11" customFormat="1"/>
    <row r="320" s="11" customFormat="1"/>
    <row r="321" s="11" customFormat="1"/>
    <row r="322" s="11" customFormat="1"/>
    <row r="323" s="11" customFormat="1"/>
    <row r="324" s="11" customFormat="1"/>
    <row r="325" s="11" customFormat="1"/>
    <row r="326" s="11" customFormat="1"/>
    <row r="327" s="11" customFormat="1"/>
    <row r="328" s="11" customFormat="1"/>
    <row r="329" s="11" customFormat="1"/>
    <row r="330" s="11" customFormat="1"/>
    <row r="331" s="11" customFormat="1"/>
    <row r="332" s="11" customFormat="1"/>
    <row r="333" s="11" customFormat="1"/>
    <row r="334" s="11" customFormat="1"/>
    <row r="335" s="11" customFormat="1"/>
    <row r="336" s="11" customFormat="1"/>
    <row r="337" s="11" customFormat="1"/>
    <row r="338" s="11" customFormat="1"/>
    <row r="339" s="11" customFormat="1"/>
    <row r="340" s="11" customFormat="1"/>
    <row r="341" s="11" customFormat="1"/>
    <row r="342" s="11" customFormat="1"/>
    <row r="343" s="11" customFormat="1"/>
    <row r="344" s="11" customFormat="1"/>
    <row r="345" s="11" customFormat="1"/>
    <row r="346" s="11" customFormat="1"/>
    <row r="347" s="11" customFormat="1"/>
    <row r="348" s="11" customFormat="1"/>
    <row r="349" s="11" customFormat="1"/>
    <row r="350" s="11" customFormat="1"/>
    <row r="351" s="11" customFormat="1"/>
    <row r="352" s="11" customFormat="1"/>
    <row r="353" s="11" customFormat="1"/>
    <row r="354" s="11" customFormat="1"/>
    <row r="355" s="11" customFormat="1"/>
    <row r="356" s="11" customFormat="1"/>
    <row r="357" s="11" customFormat="1"/>
    <row r="358" s="11" customFormat="1"/>
    <row r="359" s="11" customFormat="1"/>
    <row r="360" s="11" customFormat="1"/>
    <row r="361" s="11" customFormat="1"/>
    <row r="362" s="11" customFormat="1"/>
    <row r="363" s="11" customFormat="1"/>
    <row r="364" s="11" customFormat="1"/>
    <row r="365" s="11" customFormat="1"/>
    <row r="366" s="11" customFormat="1"/>
    <row r="367" s="11" customFormat="1"/>
    <row r="368" s="11" customFormat="1"/>
    <row r="369" s="11" customFormat="1"/>
    <row r="370" s="11" customFormat="1"/>
    <row r="371" s="11" customFormat="1"/>
    <row r="372" s="11" customFormat="1"/>
    <row r="373" s="11" customFormat="1"/>
    <row r="374" s="11" customFormat="1"/>
    <row r="375" s="11" customFormat="1"/>
    <row r="376" s="11" customFormat="1"/>
    <row r="377" s="11" customFormat="1"/>
    <row r="378" s="11" customFormat="1"/>
    <row r="379" s="11" customFormat="1"/>
    <row r="380" s="11" customFormat="1"/>
    <row r="381" s="11" customFormat="1"/>
    <row r="382" s="11" customFormat="1"/>
    <row r="383" s="11" customFormat="1"/>
    <row r="384" s="11" customFormat="1"/>
    <row r="385" s="11" customFormat="1"/>
    <row r="386" s="11" customFormat="1"/>
    <row r="387" s="11" customFormat="1"/>
    <row r="388" s="11" customFormat="1"/>
    <row r="389" s="11" customFormat="1"/>
    <row r="390" s="11" customFormat="1"/>
    <row r="391" s="11" customFormat="1"/>
    <row r="392" s="11" customFormat="1"/>
    <row r="393" s="11" customFormat="1"/>
    <row r="394" s="11" customFormat="1"/>
    <row r="395" s="11" customFormat="1"/>
    <row r="396" s="11" customFormat="1"/>
    <row r="397" s="11" customFormat="1"/>
    <row r="398" s="11" customFormat="1"/>
    <row r="399" s="11" customFormat="1"/>
    <row r="400" s="11" customFormat="1"/>
    <row r="401" s="11" customFormat="1"/>
    <row r="402" s="11" customFormat="1"/>
    <row r="403" s="11" customFormat="1"/>
    <row r="404" s="11" customFormat="1"/>
    <row r="405" s="11" customFormat="1"/>
  </sheetData>
  <mergeCells count="4">
    <mergeCell ref="T1:U1"/>
    <mergeCell ref="T2:U2"/>
    <mergeCell ref="B71:J71"/>
    <mergeCell ref="A1:J1"/>
  </mergeCells>
  <phoneticPr fontId="47" type="noConversion"/>
  <pageMargins left="0.55118110236220497" right="0.511811023622047" top="0.511811023622047" bottom="0.27559055118110198" header="0" footer="0.143700787"/>
  <pageSetup paperSize="512" firstPageNumber="84" orientation="portrait" useFirstPageNumber="1" r:id="rId1"/>
  <headerFooter>
    <oddFooter>&amp;C&amp;"Times New Roman,Regular"&amp;8&amp;P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BW69"/>
  <sheetViews>
    <sheetView zoomScale="130" zoomScaleNormal="130" workbookViewId="0">
      <pane xSplit="1" ySplit="6" topLeftCell="B7" activePane="bottomRight" state="frozen"/>
      <selection pane="topRight" activeCell="B1" sqref="B1"/>
      <selection pane="bottomLeft" activeCell="A7" sqref="A7"/>
      <selection pane="bottomRight" activeCell="D14" sqref="D14"/>
    </sheetView>
  </sheetViews>
  <sheetFormatPr defaultColWidth="9.140625" defaultRowHeight="11.25"/>
  <cols>
    <col min="1" max="1" width="9.28515625" style="66" customWidth="1"/>
    <col min="2" max="2" width="9.85546875" style="11" customWidth="1"/>
    <col min="3" max="3" width="9.7109375" style="11" customWidth="1"/>
    <col min="4" max="4" width="10.140625" style="11" customWidth="1"/>
    <col min="5" max="5" width="11" style="11" customWidth="1"/>
    <col min="6" max="6" width="11.28515625" style="11" customWidth="1"/>
    <col min="7" max="7" width="11.85546875" style="11" customWidth="1"/>
    <col min="8" max="8" width="9.85546875" style="11" customWidth="1"/>
    <col min="9" max="9" width="9.5703125" style="11" customWidth="1"/>
    <col min="10" max="10" width="9.28515625" style="11" customWidth="1"/>
    <col min="11" max="11" width="9.7109375" style="11" customWidth="1"/>
    <col min="12" max="12" width="9.42578125" style="11" customWidth="1"/>
    <col min="13" max="13" width="8" style="11" customWidth="1"/>
    <col min="14" max="14" width="8.7109375" style="11" customWidth="1"/>
    <col min="15" max="15" width="7.5703125" style="11" customWidth="1"/>
    <col min="16" max="16" width="11.42578125" style="66" customWidth="1"/>
    <col min="17" max="17" width="10.7109375" style="11" customWidth="1"/>
    <col min="18" max="18" width="10.5703125" style="11" customWidth="1"/>
    <col min="19" max="19" width="10.7109375" style="11" customWidth="1"/>
    <col min="20" max="20" width="10.85546875" style="11" customWidth="1"/>
    <col min="21" max="21" width="10.5703125" style="11" customWidth="1"/>
    <col min="22" max="22" width="10.7109375" style="11" customWidth="1"/>
    <col min="23" max="23" width="9.85546875" style="11" customWidth="1"/>
    <col min="24" max="24" width="9.140625" style="11" customWidth="1"/>
    <col min="25" max="25" width="9.42578125" style="11" customWidth="1"/>
    <col min="26" max="26" width="9" style="11" customWidth="1"/>
    <col min="27" max="27" width="9.42578125" style="11" customWidth="1"/>
    <col min="28" max="29" width="9.7109375" style="11" customWidth="1"/>
    <col min="30" max="30" width="9.42578125" style="11" customWidth="1"/>
    <col min="31" max="31" width="10.42578125" style="66" customWidth="1"/>
    <col min="32" max="32" width="10.7109375" style="11" customWidth="1"/>
    <col min="33" max="34" width="10.85546875" style="11" customWidth="1"/>
    <col min="35" max="35" width="11.140625" style="11" customWidth="1"/>
    <col min="36" max="36" width="11.42578125" style="11" customWidth="1"/>
    <col min="37" max="37" width="9" style="11" customWidth="1"/>
    <col min="38" max="38" width="9.7109375" style="11" customWidth="1"/>
    <col min="39" max="39" width="9.5703125" style="11" customWidth="1"/>
    <col min="40" max="40" width="9.28515625" style="11" customWidth="1"/>
    <col min="41" max="41" width="9.42578125" style="11" customWidth="1"/>
    <col min="42" max="42" width="9.140625" style="11" customWidth="1"/>
    <col min="43" max="43" width="9.28515625" style="11" customWidth="1"/>
    <col min="44" max="44" width="10" style="11" customWidth="1"/>
    <col min="45" max="45" width="9.140625" style="11" customWidth="1"/>
    <col min="46" max="46" width="10.7109375" style="66" customWidth="1"/>
    <col min="47" max="47" width="10.85546875" style="11" customWidth="1"/>
    <col min="48" max="48" width="10.5703125" style="11" customWidth="1"/>
    <col min="49" max="49" width="10.28515625" style="11" customWidth="1"/>
    <col min="50" max="50" width="10.5703125" style="11" customWidth="1"/>
    <col min="51" max="51" width="11" style="11" customWidth="1"/>
    <col min="52" max="52" width="11.42578125" style="11" customWidth="1"/>
    <col min="53" max="53" width="9.85546875" style="11" customWidth="1"/>
    <col min="54" max="54" width="9.28515625" style="11" customWidth="1"/>
    <col min="55" max="55" width="9.85546875" style="11" customWidth="1"/>
    <col min="56" max="56" width="9.140625" style="11" customWidth="1"/>
    <col min="57" max="57" width="9.7109375" style="11" customWidth="1"/>
    <col min="58" max="58" width="8.7109375" style="11" customWidth="1"/>
    <col min="59" max="59" width="9" style="11" customWidth="1"/>
    <col min="60" max="60" width="9.28515625" style="11" customWidth="1"/>
    <col min="61" max="61" width="10" style="66" customWidth="1"/>
    <col min="62" max="62" width="10.28515625" style="11" customWidth="1"/>
    <col min="63" max="63" width="10.42578125" style="11" customWidth="1"/>
    <col min="64" max="64" width="10.140625" style="11" customWidth="1"/>
    <col min="65" max="65" width="11" style="11" customWidth="1"/>
    <col min="66" max="66" width="10.7109375" style="11" customWidth="1"/>
    <col min="67" max="67" width="11.42578125" style="11" customWidth="1"/>
    <col min="68" max="68" width="10" style="11" customWidth="1"/>
    <col min="69" max="69" width="9.42578125" style="11" customWidth="1"/>
    <col min="70" max="70" width="9" style="11" customWidth="1"/>
    <col min="71" max="71" width="9.7109375" style="11" customWidth="1"/>
    <col min="72" max="72" width="9.28515625" style="11" customWidth="1"/>
    <col min="73" max="73" width="9.42578125" style="11" customWidth="1"/>
    <col min="74" max="74" width="9.5703125" style="11" customWidth="1"/>
    <col min="75" max="75" width="9.140625" style="11" customWidth="1"/>
    <col min="76" max="16384" width="9.140625" style="11"/>
  </cols>
  <sheetData>
    <row r="1" spans="1:75" s="206" customFormat="1" ht="14.25" customHeight="1">
      <c r="C1" s="81"/>
      <c r="D1" s="81"/>
      <c r="F1" s="1972" t="s">
        <v>900</v>
      </c>
      <c r="G1" s="1972"/>
      <c r="H1" s="221" t="s">
        <v>898</v>
      </c>
      <c r="M1" s="1972" t="s">
        <v>2459</v>
      </c>
      <c r="N1" s="1972"/>
      <c r="O1" s="1972"/>
      <c r="U1" s="1972" t="s">
        <v>900</v>
      </c>
      <c r="V1" s="1972"/>
      <c r="W1" s="221" t="s">
        <v>898</v>
      </c>
      <c r="AB1" s="1972" t="s">
        <v>2459</v>
      </c>
      <c r="AC1" s="1972"/>
      <c r="AD1" s="1972"/>
      <c r="AJ1" s="1972" t="s">
        <v>900</v>
      </c>
      <c r="AK1" s="1972"/>
      <c r="AL1" s="221" t="s">
        <v>898</v>
      </c>
      <c r="AQ1" s="1972" t="s">
        <v>2459</v>
      </c>
      <c r="AR1" s="1972"/>
      <c r="AS1" s="1972"/>
      <c r="AY1" s="1972" t="s">
        <v>900</v>
      </c>
      <c r="AZ1" s="1972"/>
      <c r="BA1" s="221" t="s">
        <v>898</v>
      </c>
      <c r="BF1" s="1972" t="s">
        <v>2459</v>
      </c>
      <c r="BG1" s="1972"/>
      <c r="BH1" s="1972"/>
      <c r="BN1" s="1972" t="s">
        <v>900</v>
      </c>
      <c r="BO1" s="1972"/>
      <c r="BP1" s="221" t="s">
        <v>898</v>
      </c>
      <c r="BU1" s="1972" t="s">
        <v>2460</v>
      </c>
      <c r="BV1" s="1972"/>
      <c r="BW1" s="1972"/>
    </row>
    <row r="2" spans="1:75" s="98" customFormat="1" ht="12.75" customHeight="1">
      <c r="G2" s="219" t="s">
        <v>897</v>
      </c>
      <c r="H2" s="15" t="s">
        <v>899</v>
      </c>
      <c r="I2" s="118"/>
      <c r="J2" s="118"/>
      <c r="K2" s="118"/>
      <c r="L2" s="118"/>
      <c r="M2" s="118"/>
      <c r="P2" s="118"/>
      <c r="Q2" s="118"/>
      <c r="R2" s="118"/>
      <c r="S2" s="118"/>
      <c r="T2" s="118"/>
      <c r="V2" s="219" t="s">
        <v>897</v>
      </c>
      <c r="W2" s="15" t="s">
        <v>899</v>
      </c>
      <c r="AC2" s="2162"/>
      <c r="AD2" s="2162"/>
      <c r="AK2" s="219" t="s">
        <v>897</v>
      </c>
      <c r="AL2" s="15" t="s">
        <v>899</v>
      </c>
      <c r="AZ2" s="219" t="s">
        <v>897</v>
      </c>
      <c r="BA2" s="15" t="s">
        <v>899</v>
      </c>
      <c r="BO2" s="219" t="s">
        <v>897</v>
      </c>
      <c r="BP2" s="15" t="s">
        <v>899</v>
      </c>
    </row>
    <row r="3" spans="1:75" s="127" customFormat="1" ht="11.25" customHeight="1">
      <c r="A3" s="1996" t="s">
        <v>1132</v>
      </c>
      <c r="B3" s="1996" t="s">
        <v>1293</v>
      </c>
      <c r="C3" s="1996"/>
      <c r="D3" s="1996" t="s">
        <v>1166</v>
      </c>
      <c r="E3" s="1996"/>
      <c r="F3" s="1996" t="s">
        <v>1167</v>
      </c>
      <c r="G3" s="1996"/>
      <c r="H3" s="1996" t="s">
        <v>1168</v>
      </c>
      <c r="I3" s="1996"/>
      <c r="J3" s="1996" t="s">
        <v>108</v>
      </c>
      <c r="K3" s="1996"/>
      <c r="L3" s="1996" t="s">
        <v>1169</v>
      </c>
      <c r="M3" s="1996"/>
      <c r="N3" s="1996" t="s">
        <v>993</v>
      </c>
      <c r="O3" s="1996"/>
      <c r="P3" s="1996" t="s">
        <v>1132</v>
      </c>
      <c r="Q3" s="1996" t="s">
        <v>133</v>
      </c>
      <c r="R3" s="1996"/>
      <c r="S3" s="1996" t="s">
        <v>1170</v>
      </c>
      <c r="T3" s="1996"/>
      <c r="U3" s="1996" t="s">
        <v>1171</v>
      </c>
      <c r="V3" s="1996"/>
      <c r="W3" s="1996" t="s">
        <v>573</v>
      </c>
      <c r="X3" s="1996"/>
      <c r="Y3" s="1996" t="s">
        <v>134</v>
      </c>
      <c r="Z3" s="1996"/>
      <c r="AA3" s="1996" t="s">
        <v>1172</v>
      </c>
      <c r="AB3" s="1996"/>
      <c r="AC3" s="1996" t="s">
        <v>1294</v>
      </c>
      <c r="AD3" s="1996"/>
      <c r="AE3" s="1996" t="s">
        <v>1132</v>
      </c>
      <c r="AF3" s="1996" t="s">
        <v>574</v>
      </c>
      <c r="AG3" s="1996"/>
      <c r="AH3" s="1996" t="s">
        <v>1173</v>
      </c>
      <c r="AI3" s="1996"/>
      <c r="AJ3" s="1996" t="s">
        <v>1174</v>
      </c>
      <c r="AK3" s="1996"/>
      <c r="AL3" s="1996" t="s">
        <v>1175</v>
      </c>
      <c r="AM3" s="1996"/>
      <c r="AN3" s="1996" t="s">
        <v>1176</v>
      </c>
      <c r="AO3" s="1996"/>
      <c r="AP3" s="1996" t="s">
        <v>1177</v>
      </c>
      <c r="AQ3" s="1996"/>
      <c r="AR3" s="1996" t="s">
        <v>1178</v>
      </c>
      <c r="AS3" s="1996"/>
      <c r="AT3" s="1996" t="s">
        <v>1132</v>
      </c>
      <c r="AU3" s="1996" t="s">
        <v>1179</v>
      </c>
      <c r="AV3" s="1996"/>
      <c r="AW3" s="1996" t="s">
        <v>1180</v>
      </c>
      <c r="AX3" s="1996"/>
      <c r="AY3" s="1996" t="s">
        <v>1181</v>
      </c>
      <c r="AZ3" s="1996"/>
      <c r="BA3" s="1996" t="s">
        <v>575</v>
      </c>
      <c r="BB3" s="1996"/>
      <c r="BC3" s="1996" t="s">
        <v>1182</v>
      </c>
      <c r="BD3" s="1996"/>
      <c r="BE3" s="1996" t="s">
        <v>1183</v>
      </c>
      <c r="BF3" s="1996"/>
      <c r="BG3" s="1996" t="s">
        <v>1000</v>
      </c>
      <c r="BH3" s="1996"/>
      <c r="BI3" s="1996" t="s">
        <v>1132</v>
      </c>
      <c r="BJ3" s="1996" t="s">
        <v>1382</v>
      </c>
      <c r="BK3" s="1996"/>
      <c r="BL3" s="1996" t="s">
        <v>1295</v>
      </c>
      <c r="BM3" s="1996"/>
      <c r="BN3" s="1996" t="s">
        <v>1184</v>
      </c>
      <c r="BO3" s="1996"/>
      <c r="BP3" s="1996" t="s">
        <v>576</v>
      </c>
      <c r="BQ3" s="1996"/>
      <c r="BR3" s="1996" t="s">
        <v>1185</v>
      </c>
      <c r="BS3" s="1996"/>
      <c r="BT3" s="1996" t="s">
        <v>1186</v>
      </c>
      <c r="BU3" s="1996"/>
      <c r="BV3" s="1996" t="s">
        <v>2536</v>
      </c>
      <c r="BW3" s="1996"/>
    </row>
    <row r="4" spans="1:75" s="222" customFormat="1" ht="20.25" customHeight="1">
      <c r="A4" s="1996"/>
      <c r="B4" s="1956" t="s">
        <v>2270</v>
      </c>
      <c r="C4" s="1956" t="s">
        <v>2271</v>
      </c>
      <c r="D4" s="1956" t="s">
        <v>2270</v>
      </c>
      <c r="E4" s="1956" t="s">
        <v>2271</v>
      </c>
      <c r="F4" s="1956" t="s">
        <v>2270</v>
      </c>
      <c r="G4" s="1956" t="s">
        <v>2272</v>
      </c>
      <c r="H4" s="1956" t="s">
        <v>2270</v>
      </c>
      <c r="I4" s="1956" t="s">
        <v>2271</v>
      </c>
      <c r="J4" s="1956" t="s">
        <v>2270</v>
      </c>
      <c r="K4" s="1956" t="s">
        <v>2271</v>
      </c>
      <c r="L4" s="1956" t="s">
        <v>2270</v>
      </c>
      <c r="M4" s="1956" t="s">
        <v>2271</v>
      </c>
      <c r="N4" s="1956" t="s">
        <v>2270</v>
      </c>
      <c r="O4" s="1956" t="s">
        <v>2271</v>
      </c>
      <c r="P4" s="1996"/>
      <c r="Q4" s="1956" t="s">
        <v>2270</v>
      </c>
      <c r="R4" s="1956" t="s">
        <v>2271</v>
      </c>
      <c r="S4" s="1956" t="s">
        <v>2270</v>
      </c>
      <c r="T4" s="1956" t="s">
        <v>2271</v>
      </c>
      <c r="U4" s="1956" t="s">
        <v>2270</v>
      </c>
      <c r="V4" s="1956" t="s">
        <v>2272</v>
      </c>
      <c r="W4" s="1956" t="s">
        <v>2270</v>
      </c>
      <c r="X4" s="1956" t="s">
        <v>2271</v>
      </c>
      <c r="Y4" s="1956" t="s">
        <v>2270</v>
      </c>
      <c r="Z4" s="1956" t="s">
        <v>2271</v>
      </c>
      <c r="AA4" s="1956" t="s">
        <v>2270</v>
      </c>
      <c r="AB4" s="1956" t="s">
        <v>2271</v>
      </c>
      <c r="AC4" s="1956" t="s">
        <v>2270</v>
      </c>
      <c r="AD4" s="1956" t="s">
        <v>2271</v>
      </c>
      <c r="AE4" s="1996"/>
      <c r="AF4" s="1956" t="s">
        <v>2270</v>
      </c>
      <c r="AG4" s="1956" t="s">
        <v>2271</v>
      </c>
      <c r="AH4" s="1956" t="s">
        <v>2270</v>
      </c>
      <c r="AI4" s="1956" t="s">
        <v>2271</v>
      </c>
      <c r="AJ4" s="1956" t="s">
        <v>2270</v>
      </c>
      <c r="AK4" s="1956" t="s">
        <v>2272</v>
      </c>
      <c r="AL4" s="1956" t="s">
        <v>2270</v>
      </c>
      <c r="AM4" s="1956" t="s">
        <v>2271</v>
      </c>
      <c r="AN4" s="1956" t="s">
        <v>2270</v>
      </c>
      <c r="AO4" s="1956" t="s">
        <v>2271</v>
      </c>
      <c r="AP4" s="1956" t="s">
        <v>2270</v>
      </c>
      <c r="AQ4" s="1956" t="s">
        <v>2271</v>
      </c>
      <c r="AR4" s="1956" t="s">
        <v>2270</v>
      </c>
      <c r="AS4" s="1956" t="s">
        <v>2271</v>
      </c>
      <c r="AT4" s="1996"/>
      <c r="AU4" s="1956" t="s">
        <v>2270</v>
      </c>
      <c r="AV4" s="1956" t="s">
        <v>2271</v>
      </c>
      <c r="AW4" s="1956" t="s">
        <v>2270</v>
      </c>
      <c r="AX4" s="1956" t="s">
        <v>2271</v>
      </c>
      <c r="AY4" s="1956" t="s">
        <v>2270</v>
      </c>
      <c r="AZ4" s="1956" t="s">
        <v>2272</v>
      </c>
      <c r="BA4" s="1956" t="s">
        <v>2270</v>
      </c>
      <c r="BB4" s="1956" t="s">
        <v>2271</v>
      </c>
      <c r="BC4" s="1956" t="s">
        <v>2270</v>
      </c>
      <c r="BD4" s="1956" t="s">
        <v>2271</v>
      </c>
      <c r="BE4" s="1956" t="s">
        <v>2270</v>
      </c>
      <c r="BF4" s="1956" t="s">
        <v>2271</v>
      </c>
      <c r="BG4" s="1956" t="s">
        <v>2270</v>
      </c>
      <c r="BH4" s="1956" t="s">
        <v>2271</v>
      </c>
      <c r="BI4" s="1996"/>
      <c r="BJ4" s="1956" t="s">
        <v>2270</v>
      </c>
      <c r="BK4" s="1956" t="s">
        <v>2271</v>
      </c>
      <c r="BL4" s="1956" t="s">
        <v>2270</v>
      </c>
      <c r="BM4" s="1956" t="s">
        <v>2271</v>
      </c>
      <c r="BN4" s="1956" t="s">
        <v>2270</v>
      </c>
      <c r="BO4" s="1956" t="s">
        <v>2272</v>
      </c>
      <c r="BP4" s="1956" t="s">
        <v>2270</v>
      </c>
      <c r="BQ4" s="1956" t="s">
        <v>2271</v>
      </c>
      <c r="BR4" s="1956" t="s">
        <v>2270</v>
      </c>
      <c r="BS4" s="1956" t="s">
        <v>2271</v>
      </c>
      <c r="BT4" s="1956" t="s">
        <v>2270</v>
      </c>
      <c r="BU4" s="1956" t="s">
        <v>2271</v>
      </c>
      <c r="BV4" s="1956" t="s">
        <v>2270</v>
      </c>
      <c r="BW4" s="1956" t="s">
        <v>2271</v>
      </c>
    </row>
    <row r="5" spans="1:75" s="222" customFormat="1" ht="15.75" customHeight="1">
      <c r="A5" s="1996"/>
      <c r="B5" s="1950"/>
      <c r="C5" s="1950"/>
      <c r="D5" s="1950"/>
      <c r="E5" s="1950"/>
      <c r="F5" s="1950"/>
      <c r="G5" s="1950"/>
      <c r="H5" s="1950"/>
      <c r="I5" s="1950"/>
      <c r="J5" s="1950"/>
      <c r="K5" s="1950"/>
      <c r="L5" s="1950"/>
      <c r="M5" s="1950"/>
      <c r="N5" s="1950"/>
      <c r="O5" s="1950"/>
      <c r="P5" s="1996"/>
      <c r="Q5" s="1950"/>
      <c r="R5" s="1950"/>
      <c r="S5" s="1950"/>
      <c r="T5" s="1950"/>
      <c r="U5" s="1950"/>
      <c r="V5" s="1950"/>
      <c r="W5" s="1950"/>
      <c r="X5" s="1950"/>
      <c r="Y5" s="1950"/>
      <c r="Z5" s="1950"/>
      <c r="AA5" s="1950"/>
      <c r="AB5" s="1950"/>
      <c r="AC5" s="1950"/>
      <c r="AD5" s="1950"/>
      <c r="AE5" s="1996"/>
      <c r="AF5" s="1950"/>
      <c r="AG5" s="1950"/>
      <c r="AH5" s="1950"/>
      <c r="AI5" s="1950"/>
      <c r="AJ5" s="1950"/>
      <c r="AK5" s="1950"/>
      <c r="AL5" s="1950"/>
      <c r="AM5" s="1950"/>
      <c r="AN5" s="1950"/>
      <c r="AO5" s="1950"/>
      <c r="AP5" s="1950"/>
      <c r="AQ5" s="1950"/>
      <c r="AR5" s="1950"/>
      <c r="AS5" s="1950"/>
      <c r="AT5" s="1996"/>
      <c r="AU5" s="1950"/>
      <c r="AV5" s="1950"/>
      <c r="AW5" s="1950"/>
      <c r="AX5" s="1950"/>
      <c r="AY5" s="1950"/>
      <c r="AZ5" s="1950"/>
      <c r="BA5" s="1950"/>
      <c r="BB5" s="1950"/>
      <c r="BC5" s="1950"/>
      <c r="BD5" s="1950"/>
      <c r="BE5" s="1950"/>
      <c r="BF5" s="1950"/>
      <c r="BG5" s="1950"/>
      <c r="BH5" s="1950"/>
      <c r="BI5" s="1996"/>
      <c r="BJ5" s="1950"/>
      <c r="BK5" s="1950"/>
      <c r="BL5" s="1950"/>
      <c r="BM5" s="1950"/>
      <c r="BN5" s="1950"/>
      <c r="BO5" s="1950"/>
      <c r="BP5" s="1950"/>
      <c r="BQ5" s="1950"/>
      <c r="BR5" s="1950"/>
      <c r="BS5" s="1950"/>
      <c r="BT5" s="1950"/>
      <c r="BU5" s="1950"/>
      <c r="BV5" s="1950"/>
      <c r="BW5" s="1950"/>
    </row>
    <row r="6" spans="1:75" s="223" customFormat="1" ht="12">
      <c r="A6" s="1996"/>
      <c r="B6" s="218">
        <v>1</v>
      </c>
      <c r="C6" s="218">
        <v>2</v>
      </c>
      <c r="D6" s="218">
        <v>3</v>
      </c>
      <c r="E6" s="218">
        <v>4</v>
      </c>
      <c r="F6" s="218">
        <v>5</v>
      </c>
      <c r="G6" s="218">
        <v>6</v>
      </c>
      <c r="H6" s="218">
        <v>7</v>
      </c>
      <c r="I6" s="218">
        <v>8</v>
      </c>
      <c r="J6" s="218">
        <v>9</v>
      </c>
      <c r="K6" s="218">
        <v>10</v>
      </c>
      <c r="L6" s="218">
        <v>11</v>
      </c>
      <c r="M6" s="218">
        <v>12</v>
      </c>
      <c r="N6" s="218">
        <v>13</v>
      </c>
      <c r="O6" s="218">
        <v>14</v>
      </c>
      <c r="P6" s="1996"/>
      <c r="Q6" s="218">
        <v>15</v>
      </c>
      <c r="R6" s="218">
        <v>16</v>
      </c>
      <c r="S6" s="218">
        <v>17</v>
      </c>
      <c r="T6" s="218">
        <v>18</v>
      </c>
      <c r="U6" s="218">
        <v>19</v>
      </c>
      <c r="V6" s="218">
        <v>20</v>
      </c>
      <c r="W6" s="218">
        <v>21</v>
      </c>
      <c r="X6" s="218">
        <v>22</v>
      </c>
      <c r="Y6" s="218">
        <v>23</v>
      </c>
      <c r="Z6" s="218">
        <v>24</v>
      </c>
      <c r="AA6" s="218">
        <v>25</v>
      </c>
      <c r="AB6" s="218">
        <v>26</v>
      </c>
      <c r="AC6" s="218">
        <v>27</v>
      </c>
      <c r="AD6" s="218">
        <v>28</v>
      </c>
      <c r="AE6" s="1996"/>
      <c r="AF6" s="218">
        <v>29</v>
      </c>
      <c r="AG6" s="218">
        <v>30</v>
      </c>
      <c r="AH6" s="218">
        <v>31</v>
      </c>
      <c r="AI6" s="218">
        <v>32</v>
      </c>
      <c r="AJ6" s="218">
        <v>33</v>
      </c>
      <c r="AK6" s="218">
        <v>34</v>
      </c>
      <c r="AL6" s="218">
        <v>35</v>
      </c>
      <c r="AM6" s="218">
        <v>36</v>
      </c>
      <c r="AN6" s="218">
        <v>37</v>
      </c>
      <c r="AO6" s="218">
        <v>38</v>
      </c>
      <c r="AP6" s="218">
        <v>39</v>
      </c>
      <c r="AQ6" s="218">
        <v>40</v>
      </c>
      <c r="AR6" s="218">
        <v>41</v>
      </c>
      <c r="AS6" s="218">
        <v>42</v>
      </c>
      <c r="AT6" s="1996"/>
      <c r="AU6" s="218">
        <v>43</v>
      </c>
      <c r="AV6" s="218">
        <v>44</v>
      </c>
      <c r="AW6" s="218">
        <v>45</v>
      </c>
      <c r="AX6" s="218">
        <v>46</v>
      </c>
      <c r="AY6" s="218">
        <v>47</v>
      </c>
      <c r="AZ6" s="218">
        <v>48</v>
      </c>
      <c r="BA6" s="218">
        <v>49</v>
      </c>
      <c r="BB6" s="218">
        <v>50</v>
      </c>
      <c r="BC6" s="218">
        <v>51</v>
      </c>
      <c r="BD6" s="218">
        <v>52</v>
      </c>
      <c r="BE6" s="218">
        <v>53</v>
      </c>
      <c r="BF6" s="218">
        <v>54</v>
      </c>
      <c r="BG6" s="218">
        <v>55</v>
      </c>
      <c r="BH6" s="218">
        <v>56</v>
      </c>
      <c r="BI6" s="1996"/>
      <c r="BJ6" s="218">
        <v>57</v>
      </c>
      <c r="BK6" s="218">
        <v>58</v>
      </c>
      <c r="BL6" s="218">
        <v>59</v>
      </c>
      <c r="BM6" s="218">
        <v>60</v>
      </c>
      <c r="BN6" s="218">
        <v>61</v>
      </c>
      <c r="BO6" s="218">
        <v>62</v>
      </c>
      <c r="BP6" s="218">
        <v>63</v>
      </c>
      <c r="BQ6" s="218">
        <v>64</v>
      </c>
      <c r="BR6" s="218">
        <v>65</v>
      </c>
      <c r="BS6" s="218">
        <v>66</v>
      </c>
      <c r="BT6" s="218">
        <v>67</v>
      </c>
      <c r="BU6" s="218">
        <v>68</v>
      </c>
      <c r="BV6" s="218">
        <v>69</v>
      </c>
      <c r="BW6" s="218">
        <v>70</v>
      </c>
    </row>
    <row r="7" spans="1:75" ht="11.85" hidden="1" customHeight="1">
      <c r="A7" s="467" t="s">
        <v>1194</v>
      </c>
      <c r="B7" s="19">
        <v>27.66</v>
      </c>
      <c r="C7" s="19">
        <v>29.4</v>
      </c>
      <c r="D7" s="19" t="s">
        <v>109</v>
      </c>
      <c r="E7" s="19" t="s">
        <v>109</v>
      </c>
      <c r="F7" s="19">
        <v>106.12</v>
      </c>
      <c r="G7" s="19">
        <v>106.78</v>
      </c>
      <c r="H7" s="19">
        <v>29.96</v>
      </c>
      <c r="I7" s="19">
        <v>28.96</v>
      </c>
      <c r="J7" s="19">
        <v>5.77</v>
      </c>
      <c r="K7" s="19">
        <v>4.6500000000000004</v>
      </c>
      <c r="L7" s="19">
        <v>6</v>
      </c>
      <c r="M7" s="19">
        <v>6.47</v>
      </c>
      <c r="N7" s="19">
        <v>45.79</v>
      </c>
      <c r="O7" s="19">
        <v>48.82</v>
      </c>
      <c r="P7" s="12" t="s">
        <v>1194</v>
      </c>
      <c r="Q7" s="19">
        <v>5.18</v>
      </c>
      <c r="R7" s="19">
        <v>5.18</v>
      </c>
      <c r="S7" s="19">
        <v>1.27</v>
      </c>
      <c r="T7" s="19">
        <v>1.28</v>
      </c>
      <c r="U7" s="19">
        <v>0.02</v>
      </c>
      <c r="V7" s="19">
        <v>0.02</v>
      </c>
      <c r="W7" s="19">
        <v>0.02</v>
      </c>
      <c r="X7" s="19">
        <v>0.02</v>
      </c>
      <c r="Y7" s="19">
        <v>0.38</v>
      </c>
      <c r="Z7" s="19">
        <v>0.4</v>
      </c>
      <c r="AA7" s="19">
        <v>133.84</v>
      </c>
      <c r="AB7" s="19">
        <v>136.21</v>
      </c>
      <c r="AC7" s="19">
        <v>15.3</v>
      </c>
      <c r="AD7" s="19">
        <v>15.48</v>
      </c>
      <c r="AE7" s="467" t="s">
        <v>1194</v>
      </c>
      <c r="AF7" s="19">
        <v>6.59</v>
      </c>
      <c r="AG7" s="19">
        <v>6.88</v>
      </c>
      <c r="AH7" s="19">
        <v>0.82</v>
      </c>
      <c r="AI7" s="19">
        <v>0.82</v>
      </c>
      <c r="AJ7" s="19">
        <v>22.53</v>
      </c>
      <c r="AK7" s="19">
        <v>23.96</v>
      </c>
      <c r="AL7" s="19">
        <v>5.48</v>
      </c>
      <c r="AM7" s="19">
        <v>5.8</v>
      </c>
      <c r="AN7" s="19">
        <v>103.91</v>
      </c>
      <c r="AO7" s="19">
        <v>104.56</v>
      </c>
      <c r="AP7" s="19">
        <v>1.33</v>
      </c>
      <c r="AQ7" s="19">
        <v>1.31</v>
      </c>
      <c r="AR7" s="19">
        <v>1.47</v>
      </c>
      <c r="AS7" s="19">
        <v>1.53</v>
      </c>
      <c r="AT7" s="467" t="s">
        <v>1194</v>
      </c>
      <c r="AU7" s="19">
        <v>10.99</v>
      </c>
      <c r="AV7" s="19">
        <v>11.06</v>
      </c>
      <c r="AW7" s="19">
        <v>0.03</v>
      </c>
      <c r="AX7" s="19">
        <v>0.02</v>
      </c>
      <c r="AY7" s="19">
        <v>10.67</v>
      </c>
      <c r="AZ7" s="19">
        <v>10.73</v>
      </c>
      <c r="BA7" s="19">
        <v>0.05</v>
      </c>
      <c r="BB7" s="19">
        <v>0.05</v>
      </c>
      <c r="BC7" s="19">
        <v>25.27</v>
      </c>
      <c r="BD7" s="19">
        <v>26.4</v>
      </c>
      <c r="BE7" s="19">
        <v>5</v>
      </c>
      <c r="BF7" s="19">
        <v>5.24</v>
      </c>
      <c r="BG7" s="19">
        <v>0.83</v>
      </c>
      <c r="BH7" s="19">
        <v>0.84</v>
      </c>
      <c r="BI7" s="12" t="s">
        <v>150</v>
      </c>
      <c r="BJ7" s="19">
        <v>27.56</v>
      </c>
      <c r="BK7" s="19">
        <v>30.32</v>
      </c>
      <c r="BL7" s="19">
        <v>1.92</v>
      </c>
      <c r="BM7" s="19">
        <v>1.96</v>
      </c>
      <c r="BN7" s="19">
        <v>55.16</v>
      </c>
      <c r="BO7" s="19">
        <v>58.38</v>
      </c>
      <c r="BP7" s="19">
        <v>1.59</v>
      </c>
      <c r="BQ7" s="19">
        <v>1.62</v>
      </c>
      <c r="BR7" s="19">
        <v>10.89</v>
      </c>
      <c r="BS7" s="19">
        <v>10.96</v>
      </c>
      <c r="BT7" s="19">
        <v>40</v>
      </c>
      <c r="BU7" s="19">
        <v>40.25</v>
      </c>
      <c r="BV7" s="19">
        <v>59.91</v>
      </c>
      <c r="BW7" s="19">
        <v>62.49</v>
      </c>
    </row>
    <row r="8" spans="1:75" ht="11.85" customHeight="1">
      <c r="A8" s="636" t="s">
        <v>1195</v>
      </c>
      <c r="B8" s="580">
        <v>29.81</v>
      </c>
      <c r="C8" s="580">
        <v>28.73</v>
      </c>
      <c r="D8" s="580" t="s">
        <v>109</v>
      </c>
      <c r="E8" s="580" t="s">
        <v>109</v>
      </c>
      <c r="F8" s="580">
        <v>106.65</v>
      </c>
      <c r="G8" s="580">
        <v>106.38</v>
      </c>
      <c r="H8" s="580">
        <v>29.17</v>
      </c>
      <c r="I8" s="580">
        <v>29.17</v>
      </c>
      <c r="J8" s="580">
        <v>4.75</v>
      </c>
      <c r="K8" s="580">
        <v>4.83</v>
      </c>
      <c r="L8" s="580">
        <v>6.85</v>
      </c>
      <c r="M8" s="580">
        <v>7.36</v>
      </c>
      <c r="N8" s="580">
        <v>50.67</v>
      </c>
      <c r="O8" s="580">
        <v>52.87</v>
      </c>
      <c r="P8" s="552" t="s">
        <v>1195</v>
      </c>
      <c r="Q8" s="580">
        <v>5.22</v>
      </c>
      <c r="R8" s="580">
        <v>5.18</v>
      </c>
      <c r="S8" s="580">
        <v>1.28</v>
      </c>
      <c r="T8" s="580">
        <v>1.28</v>
      </c>
      <c r="U8" s="580">
        <v>0.02</v>
      </c>
      <c r="V8" s="580">
        <v>0.02</v>
      </c>
      <c r="W8" s="580">
        <v>0.02</v>
      </c>
      <c r="X8" s="580">
        <v>0.02</v>
      </c>
      <c r="Y8" s="580">
        <v>0.43</v>
      </c>
      <c r="Z8" s="580">
        <v>0.47</v>
      </c>
      <c r="AA8" s="580">
        <v>134.85</v>
      </c>
      <c r="AB8" s="580">
        <v>133.76</v>
      </c>
      <c r="AC8" s="580">
        <v>15.85</v>
      </c>
      <c r="AD8" s="580">
        <v>16.43</v>
      </c>
      <c r="AE8" s="636" t="s">
        <v>1195</v>
      </c>
      <c r="AF8" s="580">
        <v>7.1</v>
      </c>
      <c r="AG8" s="580">
        <v>7.4</v>
      </c>
      <c r="AH8" s="580">
        <v>0.81</v>
      </c>
      <c r="AI8" s="580">
        <v>0.8</v>
      </c>
      <c r="AJ8" s="580">
        <v>25.45</v>
      </c>
      <c r="AK8" s="580">
        <v>26.83</v>
      </c>
      <c r="AL8" s="580">
        <v>6.11</v>
      </c>
      <c r="AM8" s="580">
        <v>6.45</v>
      </c>
      <c r="AN8" s="580">
        <v>104.43</v>
      </c>
      <c r="AO8" s="580">
        <v>104.18</v>
      </c>
      <c r="AP8" s="580">
        <v>1.3</v>
      </c>
      <c r="AQ8" s="580">
        <v>1.31</v>
      </c>
      <c r="AR8" s="580">
        <v>1.61</v>
      </c>
      <c r="AS8" s="580">
        <v>1.6</v>
      </c>
      <c r="AT8" s="636" t="s">
        <v>1195</v>
      </c>
      <c r="AU8" s="580">
        <v>11.05</v>
      </c>
      <c r="AV8" s="580">
        <v>11.02</v>
      </c>
      <c r="AW8" s="580">
        <v>0.01</v>
      </c>
      <c r="AX8" s="580">
        <v>0.01</v>
      </c>
      <c r="AY8" s="580">
        <v>10.72</v>
      </c>
      <c r="AZ8" s="580">
        <v>10.69</v>
      </c>
      <c r="BA8" s="580">
        <v>0.05</v>
      </c>
      <c r="BB8" s="580">
        <v>0.05</v>
      </c>
      <c r="BC8" s="580">
        <v>27.68</v>
      </c>
      <c r="BD8" s="580">
        <v>28.58</v>
      </c>
      <c r="BE8" s="580">
        <v>5.39</v>
      </c>
      <c r="BF8" s="580">
        <v>5.51</v>
      </c>
      <c r="BG8" s="580">
        <v>0.84</v>
      </c>
      <c r="BH8" s="580">
        <v>0.82</v>
      </c>
      <c r="BI8" s="552" t="s">
        <v>151</v>
      </c>
      <c r="BJ8" s="580">
        <v>32.25</v>
      </c>
      <c r="BK8" s="580">
        <v>34.58</v>
      </c>
      <c r="BL8" s="580">
        <v>1.47</v>
      </c>
      <c r="BM8" s="580">
        <v>0.96</v>
      </c>
      <c r="BN8" s="580">
        <v>60.14</v>
      </c>
      <c r="BO8" s="580">
        <v>62.81</v>
      </c>
      <c r="BP8" s="580">
        <v>1.62</v>
      </c>
      <c r="BQ8" s="580">
        <v>1.63</v>
      </c>
      <c r="BR8" s="580">
        <v>10.95</v>
      </c>
      <c r="BS8" s="580">
        <v>10.92</v>
      </c>
      <c r="BT8" s="580">
        <v>40.200000000000003</v>
      </c>
      <c r="BU8" s="580">
        <v>40.1</v>
      </c>
      <c r="BV8" s="580">
        <v>63.46</v>
      </c>
      <c r="BW8" s="580">
        <v>63.18</v>
      </c>
    </row>
    <row r="9" spans="1:75" ht="11.85" customHeight="1">
      <c r="A9" s="467" t="s">
        <v>1196</v>
      </c>
      <c r="B9" s="19">
        <v>31.01</v>
      </c>
      <c r="C9" s="19">
        <v>32.89</v>
      </c>
      <c r="D9" s="19">
        <v>41.5</v>
      </c>
      <c r="E9" s="19">
        <v>41.75</v>
      </c>
      <c r="F9" s="19">
        <v>108.35</v>
      </c>
      <c r="G9" s="19">
        <v>110.76</v>
      </c>
      <c r="H9" s="19">
        <v>30.01</v>
      </c>
      <c r="I9" s="19">
        <v>30.61</v>
      </c>
      <c r="J9" s="19">
        <v>4.91</v>
      </c>
      <c r="K9" s="19">
        <v>5.0199999999999996</v>
      </c>
      <c r="L9" s="19">
        <v>7.22</v>
      </c>
      <c r="M9" s="19">
        <v>7.11</v>
      </c>
      <c r="N9" s="19">
        <v>52.04</v>
      </c>
      <c r="O9" s="19">
        <v>51.9</v>
      </c>
      <c r="P9" s="12" t="s">
        <v>1196</v>
      </c>
      <c r="Q9" s="19" t="s">
        <v>125</v>
      </c>
      <c r="R9" s="19">
        <v>5.39</v>
      </c>
      <c r="S9" s="19">
        <v>1.2</v>
      </c>
      <c r="T9" s="19">
        <v>1.1599999999999999</v>
      </c>
      <c r="U9" s="19">
        <v>0.02</v>
      </c>
      <c r="V9" s="19">
        <v>0.02</v>
      </c>
      <c r="W9" s="19">
        <v>0.02</v>
      </c>
      <c r="X9" s="19">
        <v>0.01</v>
      </c>
      <c r="Y9" s="19">
        <v>0.4</v>
      </c>
      <c r="Z9" s="19">
        <v>0.38</v>
      </c>
      <c r="AA9" s="19">
        <v>136.07</v>
      </c>
      <c r="AB9" s="19">
        <v>139.19</v>
      </c>
      <c r="AC9" s="19">
        <v>16.239999999999998</v>
      </c>
      <c r="AD9" s="19">
        <v>16.73</v>
      </c>
      <c r="AE9" s="467" t="s">
        <v>1196</v>
      </c>
      <c r="AF9" s="19">
        <v>6.68</v>
      </c>
      <c r="AG9" s="19">
        <v>7.75</v>
      </c>
      <c r="AH9" s="19">
        <v>0.75</v>
      </c>
      <c r="AI9" s="19">
        <v>0.75</v>
      </c>
      <c r="AJ9" s="19">
        <v>27.23</v>
      </c>
      <c r="AK9" s="19">
        <v>28.58</v>
      </c>
      <c r="AL9" s="19">
        <v>6.42</v>
      </c>
      <c r="AM9" s="19">
        <v>6.41</v>
      </c>
      <c r="AN9" s="19">
        <v>106.16</v>
      </c>
      <c r="AO9" s="19">
        <v>108.46</v>
      </c>
      <c r="AP9" s="19">
        <v>1.22</v>
      </c>
      <c r="AQ9" s="19">
        <v>1.19</v>
      </c>
      <c r="AR9" s="19">
        <v>1.6</v>
      </c>
      <c r="AS9" s="19">
        <v>1.62</v>
      </c>
      <c r="AT9" s="467" t="s">
        <v>1196</v>
      </c>
      <c r="AU9" s="19">
        <v>11.22</v>
      </c>
      <c r="AV9" s="19">
        <v>11.47</v>
      </c>
      <c r="AW9" s="19">
        <v>0.01</v>
      </c>
      <c r="AX9" s="19">
        <v>0.01</v>
      </c>
      <c r="AY9" s="19">
        <v>10.9</v>
      </c>
      <c r="AZ9" s="19">
        <v>11.13</v>
      </c>
      <c r="BA9" s="19">
        <v>0.05</v>
      </c>
      <c r="BB9" s="19">
        <v>0.05</v>
      </c>
      <c r="BC9" s="19">
        <v>28.88</v>
      </c>
      <c r="BD9" s="19">
        <v>29.58</v>
      </c>
      <c r="BE9" s="19">
        <v>5.98</v>
      </c>
      <c r="BF9" s="19">
        <v>6.28</v>
      </c>
      <c r="BG9" s="19">
        <v>0.79</v>
      </c>
      <c r="BH9" s="19">
        <v>0.77</v>
      </c>
      <c r="BI9" s="12" t="s">
        <v>152</v>
      </c>
      <c r="BJ9" s="19">
        <v>28.01</v>
      </c>
      <c r="BK9" s="19">
        <v>33.299999999999997</v>
      </c>
      <c r="BL9" s="19">
        <v>0.96</v>
      </c>
      <c r="BM9" s="19">
        <v>0.02</v>
      </c>
      <c r="BN9" s="19">
        <v>60.52</v>
      </c>
      <c r="BO9" s="19">
        <v>60.27</v>
      </c>
      <c r="BP9" s="19">
        <v>1.63</v>
      </c>
      <c r="BQ9" s="19">
        <v>1.65</v>
      </c>
      <c r="BR9" s="19">
        <v>11.12</v>
      </c>
      <c r="BS9" s="19">
        <v>11.37</v>
      </c>
      <c r="BT9" s="19">
        <v>40.840000000000003</v>
      </c>
      <c r="BU9" s="19">
        <v>41.75</v>
      </c>
      <c r="BV9" s="19">
        <v>63.08</v>
      </c>
      <c r="BW9" s="19">
        <v>64.84</v>
      </c>
    </row>
    <row r="10" spans="1:75" ht="11.85" customHeight="1">
      <c r="A10" s="636" t="s">
        <v>1197</v>
      </c>
      <c r="B10" s="580">
        <v>33.44</v>
      </c>
      <c r="C10" s="580">
        <v>32.700000000000003</v>
      </c>
      <c r="D10" s="580">
        <v>42.7</v>
      </c>
      <c r="E10" s="580">
        <v>43.65</v>
      </c>
      <c r="F10" s="580">
        <v>113.29</v>
      </c>
      <c r="G10" s="580">
        <v>115.83</v>
      </c>
      <c r="H10" s="580">
        <v>31.21</v>
      </c>
      <c r="I10" s="580">
        <v>31.32</v>
      </c>
      <c r="J10" s="580">
        <v>5.15</v>
      </c>
      <c r="K10" s="580">
        <v>5.26</v>
      </c>
      <c r="L10" s="580">
        <v>6.99</v>
      </c>
      <c r="M10" s="580">
        <v>6.65</v>
      </c>
      <c r="N10" s="580">
        <v>51.59</v>
      </c>
      <c r="O10" s="580">
        <v>49.64</v>
      </c>
      <c r="P10" s="552" t="s">
        <v>1197</v>
      </c>
      <c r="Q10" s="580">
        <v>5.52</v>
      </c>
      <c r="R10" s="580">
        <v>5.63</v>
      </c>
      <c r="S10" s="580">
        <v>1.19</v>
      </c>
      <c r="T10" s="580">
        <v>1.22</v>
      </c>
      <c r="U10" s="580">
        <v>0.02</v>
      </c>
      <c r="V10" s="580">
        <v>0.02</v>
      </c>
      <c r="W10" s="580">
        <v>0.01</v>
      </c>
      <c r="X10" s="580">
        <v>0.01</v>
      </c>
      <c r="Y10" s="580">
        <v>0.37</v>
      </c>
      <c r="Z10" s="580">
        <v>0.38</v>
      </c>
      <c r="AA10" s="580">
        <v>141.88</v>
      </c>
      <c r="AB10" s="580">
        <v>144.51</v>
      </c>
      <c r="AC10" s="580">
        <v>17.059999999999999</v>
      </c>
      <c r="AD10" s="580">
        <v>17.3</v>
      </c>
      <c r="AE10" s="636" t="s">
        <v>1197</v>
      </c>
      <c r="AF10" s="580">
        <v>7.13</v>
      </c>
      <c r="AG10" s="580">
        <v>7.14</v>
      </c>
      <c r="AH10" s="580">
        <v>0.75</v>
      </c>
      <c r="AI10" s="580">
        <v>0.77</v>
      </c>
      <c r="AJ10" s="580">
        <v>29.71</v>
      </c>
      <c r="AK10" s="580">
        <v>29.63</v>
      </c>
      <c r="AL10" s="580">
        <v>6.43</v>
      </c>
      <c r="AM10" s="580">
        <v>6.01</v>
      </c>
      <c r="AN10" s="580">
        <v>110.95</v>
      </c>
      <c r="AO10" s="580">
        <v>113.42</v>
      </c>
      <c r="AP10" s="580">
        <v>1.1000000000000001</v>
      </c>
      <c r="AQ10" s="580">
        <v>1.08</v>
      </c>
      <c r="AR10" s="580">
        <v>1.65</v>
      </c>
      <c r="AS10" s="580">
        <v>1.68</v>
      </c>
      <c r="AT10" s="636" t="s">
        <v>1197</v>
      </c>
      <c r="AU10" s="580">
        <v>11.73</v>
      </c>
      <c r="AV10" s="580">
        <v>12</v>
      </c>
      <c r="AW10" s="580">
        <v>0.01</v>
      </c>
      <c r="AX10" s="580">
        <v>0.01</v>
      </c>
      <c r="AY10" s="580">
        <v>11.39</v>
      </c>
      <c r="AZ10" s="580">
        <v>11.64</v>
      </c>
      <c r="BA10" s="580">
        <v>0.05</v>
      </c>
      <c r="BB10" s="580">
        <v>0.05</v>
      </c>
      <c r="BC10" s="580">
        <v>30.13</v>
      </c>
      <c r="BD10" s="580">
        <v>30.58</v>
      </c>
      <c r="BE10" s="580">
        <v>6.03</v>
      </c>
      <c r="BF10" s="580">
        <v>5.65</v>
      </c>
      <c r="BG10" s="580">
        <v>0.77</v>
      </c>
      <c r="BH10" s="580">
        <v>0.77</v>
      </c>
      <c r="BI10" s="552" t="s">
        <v>153</v>
      </c>
      <c r="BJ10" s="580">
        <v>31.75</v>
      </c>
      <c r="BK10" s="580">
        <v>30.37</v>
      </c>
      <c r="BL10" s="580">
        <v>1.02</v>
      </c>
      <c r="BM10" s="580">
        <v>1.0900000000000001</v>
      </c>
      <c r="BN10" s="580">
        <v>60.59</v>
      </c>
      <c r="BO10" s="580">
        <v>60.88</v>
      </c>
      <c r="BP10" s="580">
        <v>1.68</v>
      </c>
      <c r="BQ10" s="580">
        <v>1.79</v>
      </c>
      <c r="BR10" s="580">
        <v>11.63</v>
      </c>
      <c r="BS10" s="580">
        <v>11.89</v>
      </c>
      <c r="BT10" s="580">
        <v>42.7</v>
      </c>
      <c r="BU10" s="580">
        <v>43.65</v>
      </c>
      <c r="BV10" s="580">
        <v>69.02</v>
      </c>
      <c r="BW10" s="580">
        <v>72.62</v>
      </c>
    </row>
    <row r="11" spans="1:75" ht="11.85" customHeight="1">
      <c r="A11" s="467" t="s">
        <v>1198</v>
      </c>
      <c r="B11" s="19">
        <v>30.8</v>
      </c>
      <c r="C11" s="19">
        <v>28.37</v>
      </c>
      <c r="D11" s="19">
        <v>45.46</v>
      </c>
      <c r="E11" s="19">
        <v>46.3</v>
      </c>
      <c r="F11" s="19">
        <v>120.61</v>
      </c>
      <c r="G11" s="19">
        <v>122.52</v>
      </c>
      <c r="H11" s="19">
        <v>32.049999999999997</v>
      </c>
      <c r="I11" s="19">
        <v>31.49</v>
      </c>
      <c r="J11" s="19">
        <v>5.49</v>
      </c>
      <c r="K11" s="19">
        <v>5.59</v>
      </c>
      <c r="L11" s="19">
        <v>6.65</v>
      </c>
      <c r="M11" s="19">
        <v>6.71</v>
      </c>
      <c r="N11" s="19">
        <v>50.03</v>
      </c>
      <c r="O11" s="19">
        <v>50.55</v>
      </c>
      <c r="P11" s="12" t="s">
        <v>1198</v>
      </c>
      <c r="Q11" s="19">
        <v>5.88</v>
      </c>
      <c r="R11" s="19">
        <v>5.98</v>
      </c>
      <c r="S11" s="19">
        <v>1.18</v>
      </c>
      <c r="T11" s="19">
        <v>1.0900000000000001</v>
      </c>
      <c r="U11" s="19">
        <v>0.02</v>
      </c>
      <c r="V11" s="19">
        <v>0.03</v>
      </c>
      <c r="W11" s="19">
        <v>0.02</v>
      </c>
      <c r="X11" s="19">
        <v>0.03</v>
      </c>
      <c r="Y11" s="19">
        <v>0.36</v>
      </c>
      <c r="Z11" s="19">
        <v>0.33</v>
      </c>
      <c r="AA11" s="19">
        <v>149.05000000000001</v>
      </c>
      <c r="AB11" s="19">
        <v>150.63999999999999</v>
      </c>
      <c r="AC11" s="19">
        <v>13.1</v>
      </c>
      <c r="AD11" s="19">
        <v>11.12</v>
      </c>
      <c r="AE11" s="467" t="s">
        <v>1198</v>
      </c>
      <c r="AF11" s="19">
        <v>7.23</v>
      </c>
      <c r="AG11" s="19">
        <v>7.25</v>
      </c>
      <c r="AH11" s="19">
        <v>0.74</v>
      </c>
      <c r="AI11" s="19">
        <v>0.68</v>
      </c>
      <c r="AJ11" s="19">
        <v>26.83</v>
      </c>
      <c r="AK11" s="19">
        <v>23.75</v>
      </c>
      <c r="AL11" s="19">
        <v>6.13</v>
      </c>
      <c r="AM11" s="19">
        <v>6.03</v>
      </c>
      <c r="AN11" s="19">
        <v>118.09</v>
      </c>
      <c r="AO11" s="19">
        <v>120.31</v>
      </c>
      <c r="AP11" s="19">
        <v>1.05</v>
      </c>
      <c r="AQ11" s="19">
        <v>1</v>
      </c>
      <c r="AR11" s="19">
        <v>1.29</v>
      </c>
      <c r="AS11" s="19">
        <v>1.1299999999999999</v>
      </c>
      <c r="AT11" s="467" t="s">
        <v>1198</v>
      </c>
      <c r="AU11" s="19">
        <v>12.49</v>
      </c>
      <c r="AV11" s="19">
        <v>12.72</v>
      </c>
      <c r="AW11" s="19">
        <v>0.01</v>
      </c>
      <c r="AX11" s="19">
        <v>0.01</v>
      </c>
      <c r="AY11" s="19">
        <v>12.12</v>
      </c>
      <c r="AZ11" s="19">
        <v>12.34</v>
      </c>
      <c r="BA11" s="19">
        <v>0.04</v>
      </c>
      <c r="BB11" s="19">
        <v>0.03</v>
      </c>
      <c r="BC11" s="19">
        <v>28.43</v>
      </c>
      <c r="BD11" s="19">
        <v>26.97</v>
      </c>
      <c r="BE11" s="19">
        <v>5.81</v>
      </c>
      <c r="BF11" s="19">
        <v>5.81</v>
      </c>
      <c r="BG11" s="19">
        <v>0.76</v>
      </c>
      <c r="BH11" s="19">
        <v>0.73</v>
      </c>
      <c r="BI11" s="12" t="s">
        <v>154</v>
      </c>
      <c r="BJ11" s="19">
        <v>30.86</v>
      </c>
      <c r="BK11" s="19">
        <v>30.39</v>
      </c>
      <c r="BL11" s="19">
        <v>0.86</v>
      </c>
      <c r="BM11" s="19">
        <v>0.77</v>
      </c>
      <c r="BN11" s="19">
        <v>61.5</v>
      </c>
      <c r="BO11" s="19">
        <v>61.66</v>
      </c>
      <c r="BP11" s="19">
        <v>1.17</v>
      </c>
      <c r="BQ11" s="19">
        <v>1.0900000000000001</v>
      </c>
      <c r="BR11" s="19">
        <v>12.38</v>
      </c>
      <c r="BS11" s="19">
        <v>12.61</v>
      </c>
      <c r="BT11" s="19">
        <v>45.46</v>
      </c>
      <c r="BU11" s="19">
        <v>46.3</v>
      </c>
      <c r="BV11" s="19">
        <v>74.88</v>
      </c>
      <c r="BW11" s="19">
        <v>77.16</v>
      </c>
    </row>
    <row r="12" spans="1:75" ht="11.85" customHeight="1">
      <c r="A12" s="636" t="s">
        <v>1199</v>
      </c>
      <c r="B12" s="580">
        <v>30.15</v>
      </c>
      <c r="C12" s="580">
        <v>32.020000000000003</v>
      </c>
      <c r="D12" s="580">
        <v>48.06</v>
      </c>
      <c r="E12" s="580">
        <v>48.5</v>
      </c>
      <c r="F12" s="580">
        <v>127.47</v>
      </c>
      <c r="G12" s="580">
        <v>128.68</v>
      </c>
      <c r="H12" s="580">
        <v>31.85</v>
      </c>
      <c r="I12" s="580">
        <v>32.85</v>
      </c>
      <c r="J12" s="580">
        <v>5.81</v>
      </c>
      <c r="K12" s="580">
        <v>5.86</v>
      </c>
      <c r="L12" s="580">
        <v>7.21</v>
      </c>
      <c r="M12" s="580">
        <v>6.74</v>
      </c>
      <c r="N12" s="580">
        <v>53.85</v>
      </c>
      <c r="O12" s="580">
        <v>50.12</v>
      </c>
      <c r="P12" s="552" t="s">
        <v>1199</v>
      </c>
      <c r="Q12" s="580">
        <v>6.22</v>
      </c>
      <c r="R12" s="580">
        <v>6.25</v>
      </c>
      <c r="S12" s="580">
        <v>1.1299999999999999</v>
      </c>
      <c r="T12" s="580">
        <v>1.1200000000000001</v>
      </c>
      <c r="U12" s="580">
        <v>0.01</v>
      </c>
      <c r="V12" s="580">
        <v>0.01</v>
      </c>
      <c r="W12" s="580">
        <v>0.03</v>
      </c>
      <c r="X12" s="580">
        <v>0.03</v>
      </c>
      <c r="Y12" s="580">
        <v>0.39</v>
      </c>
      <c r="Z12" s="580">
        <v>0.39</v>
      </c>
      <c r="AA12" s="580">
        <v>157.79</v>
      </c>
      <c r="AB12" s="580">
        <v>158.37</v>
      </c>
      <c r="AC12" s="580">
        <v>12.43</v>
      </c>
      <c r="AD12" s="580">
        <v>12.76</v>
      </c>
      <c r="AE12" s="636" t="s">
        <v>1199</v>
      </c>
      <c r="AF12" s="580">
        <v>7.72</v>
      </c>
      <c r="AG12" s="580">
        <v>7.63</v>
      </c>
      <c r="AH12" s="580">
        <v>0.71</v>
      </c>
      <c r="AI12" s="580">
        <v>0.71</v>
      </c>
      <c r="AJ12" s="580">
        <v>25.41</v>
      </c>
      <c r="AK12" s="580">
        <v>25.71</v>
      </c>
      <c r="AL12" s="580">
        <v>6.28</v>
      </c>
      <c r="AM12" s="580">
        <v>6.17</v>
      </c>
      <c r="AN12" s="580">
        <v>124.87</v>
      </c>
      <c r="AO12" s="580">
        <v>126.06</v>
      </c>
      <c r="AP12" s="580">
        <v>1.03</v>
      </c>
      <c r="AQ12" s="580">
        <v>0.94</v>
      </c>
      <c r="AR12" s="580">
        <v>1.22</v>
      </c>
      <c r="AS12" s="580">
        <v>1.3</v>
      </c>
      <c r="AT12" s="636" t="s">
        <v>1199</v>
      </c>
      <c r="AU12" s="580">
        <v>13.21</v>
      </c>
      <c r="AV12" s="580">
        <v>13.33</v>
      </c>
      <c r="AW12" s="580">
        <v>0</v>
      </c>
      <c r="AX12" s="580">
        <v>0</v>
      </c>
      <c r="AY12" s="580">
        <v>12.82</v>
      </c>
      <c r="AZ12" s="580">
        <v>12.93</v>
      </c>
      <c r="BA12" s="580">
        <v>0.04</v>
      </c>
      <c r="BB12" s="580">
        <v>0.04</v>
      </c>
      <c r="BC12" s="580">
        <v>28.35</v>
      </c>
      <c r="BD12" s="580">
        <v>28.47</v>
      </c>
      <c r="BE12" s="580">
        <v>5.94</v>
      </c>
      <c r="BF12" s="580">
        <v>5.73</v>
      </c>
      <c r="BG12" s="580">
        <v>0.73</v>
      </c>
      <c r="BH12" s="580">
        <v>0.7</v>
      </c>
      <c r="BI12" s="552" t="s">
        <v>155</v>
      </c>
      <c r="BJ12" s="580">
        <v>33.380000000000003</v>
      </c>
      <c r="BK12" s="580">
        <v>31.29</v>
      </c>
      <c r="BL12" s="580">
        <v>0.91</v>
      </c>
      <c r="BM12" s="580">
        <v>0.88</v>
      </c>
      <c r="BN12" s="580">
        <v>65.75</v>
      </c>
      <c r="BO12" s="580">
        <v>64.87</v>
      </c>
      <c r="BP12" s="580">
        <v>1.27</v>
      </c>
      <c r="BQ12" s="580">
        <v>1.32</v>
      </c>
      <c r="BR12" s="580">
        <v>13.09</v>
      </c>
      <c r="BS12" s="580">
        <v>13.21</v>
      </c>
      <c r="BT12" s="580">
        <v>48.06</v>
      </c>
      <c r="BU12" s="580">
        <v>48.5</v>
      </c>
      <c r="BV12" s="580">
        <v>78.92</v>
      </c>
      <c r="BW12" s="580">
        <v>76.28</v>
      </c>
    </row>
    <row r="13" spans="1:75" ht="11.85" customHeight="1">
      <c r="A13" s="467" t="s">
        <v>1200</v>
      </c>
      <c r="B13" s="19">
        <v>31.52</v>
      </c>
      <c r="C13" s="19">
        <v>30.51</v>
      </c>
      <c r="D13" s="19">
        <v>50.31</v>
      </c>
      <c r="E13" s="19">
        <v>51</v>
      </c>
      <c r="F13" s="19">
        <v>133.43</v>
      </c>
      <c r="G13" s="19">
        <v>135.30000000000001</v>
      </c>
      <c r="H13" s="19">
        <v>34.01</v>
      </c>
      <c r="I13" s="19">
        <v>34.409999999999997</v>
      </c>
      <c r="J13" s="19">
        <v>6.08</v>
      </c>
      <c r="K13" s="19">
        <v>6.16</v>
      </c>
      <c r="L13" s="19">
        <v>6.76</v>
      </c>
      <c r="M13" s="19">
        <v>6.5</v>
      </c>
      <c r="N13" s="19">
        <v>50.29</v>
      </c>
      <c r="O13" s="19">
        <v>48.56</v>
      </c>
      <c r="P13" s="12" t="s">
        <v>1200</v>
      </c>
      <c r="Q13" s="19">
        <v>6.47</v>
      </c>
      <c r="R13" s="19">
        <v>6.54</v>
      </c>
      <c r="S13" s="19">
        <v>1.1499999999999999</v>
      </c>
      <c r="T13" s="19">
        <v>1.1399999999999999</v>
      </c>
      <c r="U13" s="19">
        <v>0.01</v>
      </c>
      <c r="V13" s="19">
        <v>0.01</v>
      </c>
      <c r="W13" s="19">
        <v>0.03</v>
      </c>
      <c r="X13" s="19">
        <v>0.03</v>
      </c>
      <c r="Y13" s="19">
        <v>0.47</v>
      </c>
      <c r="Z13" s="19">
        <v>0.48</v>
      </c>
      <c r="AA13" s="19">
        <v>164.7</v>
      </c>
      <c r="AB13" s="19">
        <v>166.45</v>
      </c>
      <c r="AC13" s="19">
        <v>13.24</v>
      </c>
      <c r="AD13" s="19">
        <v>13.42</v>
      </c>
      <c r="AE13" s="467" t="s">
        <v>1200</v>
      </c>
      <c r="AF13" s="19">
        <v>8.01</v>
      </c>
      <c r="AG13" s="19">
        <v>7.99</v>
      </c>
      <c r="AH13" s="19">
        <v>0.72</v>
      </c>
      <c r="AI13" s="19">
        <v>0.72</v>
      </c>
      <c r="AJ13" s="19">
        <v>25.36</v>
      </c>
      <c r="AK13" s="19">
        <v>23.86</v>
      </c>
      <c r="AL13" s="19">
        <v>6.14</v>
      </c>
      <c r="AM13" s="19">
        <v>5.94</v>
      </c>
      <c r="AN13" s="19">
        <v>130.76</v>
      </c>
      <c r="AO13" s="19">
        <v>132.55000000000001</v>
      </c>
      <c r="AP13" s="19">
        <v>0.97</v>
      </c>
      <c r="AQ13" s="19">
        <v>0.98</v>
      </c>
      <c r="AR13" s="19">
        <v>1.26</v>
      </c>
      <c r="AS13" s="19">
        <v>1.18</v>
      </c>
      <c r="AT13" s="467" t="s">
        <v>1200</v>
      </c>
      <c r="AU13" s="19">
        <v>13.83</v>
      </c>
      <c r="AV13" s="19">
        <v>14.02</v>
      </c>
      <c r="AW13" s="19">
        <v>1.87</v>
      </c>
      <c r="AX13" s="19">
        <v>1.82</v>
      </c>
      <c r="AY13" s="19">
        <v>13.41</v>
      </c>
      <c r="AZ13" s="19">
        <v>13.6</v>
      </c>
      <c r="BA13" s="19">
        <v>0.04</v>
      </c>
      <c r="BB13" s="19">
        <v>0.05</v>
      </c>
      <c r="BC13" s="19">
        <v>29.59</v>
      </c>
      <c r="BD13" s="19">
        <v>29.42</v>
      </c>
      <c r="BE13" s="19">
        <v>5.9</v>
      </c>
      <c r="BF13" s="19">
        <v>5.77</v>
      </c>
      <c r="BG13" s="19">
        <v>0.71</v>
      </c>
      <c r="BH13" s="19">
        <v>0.65</v>
      </c>
      <c r="BI13" s="12" t="s">
        <v>156</v>
      </c>
      <c r="BJ13" s="19">
        <v>31.63</v>
      </c>
      <c r="BK13" s="19">
        <v>31.16</v>
      </c>
      <c r="BL13" s="19">
        <v>0.93</v>
      </c>
      <c r="BM13" s="19">
        <v>0.97</v>
      </c>
      <c r="BN13" s="19">
        <v>68.11</v>
      </c>
      <c r="BO13" s="19">
        <v>68.16</v>
      </c>
      <c r="BP13" s="19">
        <v>1.32</v>
      </c>
      <c r="BQ13" s="19">
        <v>1.3</v>
      </c>
      <c r="BR13" s="19">
        <v>13.71</v>
      </c>
      <c r="BS13" s="19">
        <v>13.89</v>
      </c>
      <c r="BT13" s="19">
        <v>50.31</v>
      </c>
      <c r="BU13" s="19">
        <v>51</v>
      </c>
      <c r="BV13" s="19">
        <v>80.040000000000006</v>
      </c>
      <c r="BW13" s="19">
        <v>77.459999999999994</v>
      </c>
    </row>
    <row r="14" spans="1:75" s="53" customFormat="1" ht="11.85" customHeight="1">
      <c r="A14" s="636" t="s">
        <v>1201</v>
      </c>
      <c r="B14" s="580" t="s">
        <v>110</v>
      </c>
      <c r="C14" s="580" t="s">
        <v>111</v>
      </c>
      <c r="D14" s="580" t="s">
        <v>112</v>
      </c>
      <c r="E14" s="580" t="s">
        <v>113</v>
      </c>
      <c r="F14" s="580" t="s">
        <v>114</v>
      </c>
      <c r="G14" s="580" t="s">
        <v>115</v>
      </c>
      <c r="H14" s="580" t="s">
        <v>116</v>
      </c>
      <c r="I14" s="580" t="s">
        <v>117</v>
      </c>
      <c r="J14" s="580" t="s">
        <v>118</v>
      </c>
      <c r="K14" s="580" t="s">
        <v>119</v>
      </c>
      <c r="L14" s="580" t="s">
        <v>120</v>
      </c>
      <c r="M14" s="580" t="s">
        <v>121</v>
      </c>
      <c r="N14" s="580" t="s">
        <v>123</v>
      </c>
      <c r="O14" s="580" t="s">
        <v>124</v>
      </c>
      <c r="P14" s="552" t="s">
        <v>1201</v>
      </c>
      <c r="Q14" s="580" t="s">
        <v>126</v>
      </c>
      <c r="R14" s="580" t="s">
        <v>127</v>
      </c>
      <c r="S14" s="580" t="s">
        <v>128</v>
      </c>
      <c r="T14" s="580" t="s">
        <v>129</v>
      </c>
      <c r="U14" s="580" t="s">
        <v>130</v>
      </c>
      <c r="V14" s="580" t="s">
        <v>130</v>
      </c>
      <c r="W14" s="580" t="s">
        <v>131</v>
      </c>
      <c r="X14" s="580" t="s">
        <v>132</v>
      </c>
      <c r="Y14" s="580" t="s">
        <v>135</v>
      </c>
      <c r="Z14" s="580" t="s">
        <v>136</v>
      </c>
      <c r="AA14" s="580" t="s">
        <v>137</v>
      </c>
      <c r="AB14" s="580" t="s">
        <v>138</v>
      </c>
      <c r="AC14" s="580" t="s">
        <v>139</v>
      </c>
      <c r="AD14" s="580" t="s">
        <v>140</v>
      </c>
      <c r="AE14" s="636" t="s">
        <v>1201</v>
      </c>
      <c r="AF14" s="580" t="s">
        <v>141</v>
      </c>
      <c r="AG14" s="580" t="s">
        <v>142</v>
      </c>
      <c r="AH14" s="580" t="s">
        <v>143</v>
      </c>
      <c r="AI14" s="580" t="s">
        <v>144</v>
      </c>
      <c r="AJ14" s="580" t="s">
        <v>145</v>
      </c>
      <c r="AK14" s="580" t="s">
        <v>146</v>
      </c>
      <c r="AL14" s="580">
        <v>5.96</v>
      </c>
      <c r="AM14" s="580" t="s">
        <v>147</v>
      </c>
      <c r="AN14" s="580">
        <v>140.19</v>
      </c>
      <c r="AO14" s="580">
        <v>148.07</v>
      </c>
      <c r="AP14" s="580">
        <v>0.93</v>
      </c>
      <c r="AQ14" s="580">
        <v>0.89</v>
      </c>
      <c r="AR14" s="580">
        <v>1.1100000000000001</v>
      </c>
      <c r="AS14" s="580">
        <v>1.0900000000000001</v>
      </c>
      <c r="AT14" s="636" t="s">
        <v>1201</v>
      </c>
      <c r="AU14" s="580">
        <v>14.83</v>
      </c>
      <c r="AV14" s="580">
        <v>15.66</v>
      </c>
      <c r="AW14" s="580">
        <v>1.9</v>
      </c>
      <c r="AX14" s="580">
        <v>1.96</v>
      </c>
      <c r="AY14" s="580">
        <v>14.39</v>
      </c>
      <c r="AZ14" s="580">
        <v>15.2</v>
      </c>
      <c r="BA14" s="580">
        <v>0.04</v>
      </c>
      <c r="BB14" s="580">
        <v>0.04</v>
      </c>
      <c r="BC14" s="580">
        <v>30.65</v>
      </c>
      <c r="BD14" s="580">
        <v>31.26</v>
      </c>
      <c r="BE14" s="580">
        <v>5.49</v>
      </c>
      <c r="BF14" s="580">
        <v>5.25</v>
      </c>
      <c r="BG14" s="580" t="s">
        <v>148</v>
      </c>
      <c r="BH14" s="580" t="s">
        <v>149</v>
      </c>
      <c r="BI14" s="552" t="s">
        <v>1258</v>
      </c>
      <c r="BJ14" s="580" t="s">
        <v>157</v>
      </c>
      <c r="BK14" s="580" t="s">
        <v>158</v>
      </c>
      <c r="BL14" s="580" t="s">
        <v>159</v>
      </c>
      <c r="BM14" s="580" t="s">
        <v>160</v>
      </c>
      <c r="BN14" s="580" t="s">
        <v>161</v>
      </c>
      <c r="BO14" s="580" t="s">
        <v>162</v>
      </c>
      <c r="BP14" s="580" t="s">
        <v>163</v>
      </c>
      <c r="BQ14" s="580" t="s">
        <v>163</v>
      </c>
      <c r="BR14" s="580" t="s">
        <v>164</v>
      </c>
      <c r="BS14" s="580" t="s">
        <v>165</v>
      </c>
      <c r="BT14" s="580" t="s">
        <v>166</v>
      </c>
      <c r="BU14" s="580">
        <v>54</v>
      </c>
      <c r="BV14" s="580" t="s">
        <v>167</v>
      </c>
      <c r="BW14" s="580" t="s">
        <v>168</v>
      </c>
    </row>
    <row r="15" spans="1:75" ht="11.85" customHeight="1">
      <c r="A15" s="467" t="s">
        <v>1202</v>
      </c>
      <c r="B15" s="19">
        <v>30.07</v>
      </c>
      <c r="C15" s="19">
        <v>32.75</v>
      </c>
      <c r="D15" s="19">
        <v>57.43</v>
      </c>
      <c r="E15" s="19">
        <v>57.9</v>
      </c>
      <c r="F15" s="19">
        <v>152.16999999999999</v>
      </c>
      <c r="G15" s="19">
        <v>153.6</v>
      </c>
      <c r="H15" s="19">
        <v>36.619999999999997</v>
      </c>
      <c r="I15" s="19">
        <v>38.15</v>
      </c>
      <c r="J15" s="19">
        <v>6.94</v>
      </c>
      <c r="K15" s="19">
        <v>7</v>
      </c>
      <c r="L15" s="19">
        <v>6.91</v>
      </c>
      <c r="M15" s="19">
        <v>7.73</v>
      </c>
      <c r="N15" s="19">
        <v>51.43</v>
      </c>
      <c r="O15" s="19">
        <v>57.39</v>
      </c>
      <c r="P15" s="12" t="s">
        <v>1202</v>
      </c>
      <c r="Q15" s="19">
        <v>7.36</v>
      </c>
      <c r="R15" s="19">
        <v>7.42</v>
      </c>
      <c r="S15" s="19">
        <v>1.19</v>
      </c>
      <c r="T15" s="19">
        <v>1.18</v>
      </c>
      <c r="U15" s="19">
        <v>0.01</v>
      </c>
      <c r="V15" s="19">
        <v>0.01</v>
      </c>
      <c r="W15" s="19">
        <v>0.03</v>
      </c>
      <c r="X15" s="19">
        <v>0.01</v>
      </c>
      <c r="Y15" s="19">
        <v>0.46</v>
      </c>
      <c r="Z15" s="19">
        <v>0.48</v>
      </c>
      <c r="AA15" s="19">
        <v>187.52</v>
      </c>
      <c r="AB15" s="19">
        <v>191.72</v>
      </c>
      <c r="AC15" s="19">
        <v>15.12</v>
      </c>
      <c r="AD15" s="19">
        <v>15.24</v>
      </c>
      <c r="AE15" s="467" t="s">
        <v>1202</v>
      </c>
      <c r="AF15" s="19">
        <v>8.5399999999999991</v>
      </c>
      <c r="AG15" s="19">
        <v>8.99</v>
      </c>
      <c r="AH15" s="19">
        <v>0.75</v>
      </c>
      <c r="AI15" s="19">
        <v>0.74</v>
      </c>
      <c r="AJ15" s="19">
        <v>24.75</v>
      </c>
      <c r="AK15" s="19">
        <v>28.2</v>
      </c>
      <c r="AL15" s="19">
        <v>6.58</v>
      </c>
      <c r="AM15" s="19">
        <v>7.72</v>
      </c>
      <c r="AN15" s="19" t="s">
        <v>1125</v>
      </c>
      <c r="AO15" s="19">
        <v>150.41</v>
      </c>
      <c r="AP15" s="19">
        <v>0.94</v>
      </c>
      <c r="AQ15" s="19">
        <v>0.97</v>
      </c>
      <c r="AR15" s="19">
        <v>1.1200000000000001</v>
      </c>
      <c r="AS15" s="19">
        <v>1.1499999999999999</v>
      </c>
      <c r="AT15" s="467" t="s">
        <v>1202</v>
      </c>
      <c r="AU15" s="19">
        <v>15.78</v>
      </c>
      <c r="AV15" s="19">
        <v>15.91</v>
      </c>
      <c r="AW15" s="19">
        <v>1.89</v>
      </c>
      <c r="AX15" s="19">
        <v>1.84</v>
      </c>
      <c r="AY15" s="19">
        <v>15.32</v>
      </c>
      <c r="AZ15" s="19">
        <v>15.44</v>
      </c>
      <c r="BA15" s="19">
        <v>0.04</v>
      </c>
      <c r="BB15" s="19">
        <v>0.05</v>
      </c>
      <c r="BC15" s="19">
        <v>31.73</v>
      </c>
      <c r="BD15" s="19">
        <v>32.76</v>
      </c>
      <c r="BE15" s="19">
        <v>5.53</v>
      </c>
      <c r="BF15" s="19">
        <v>6.32</v>
      </c>
      <c r="BG15" s="19">
        <v>0.62</v>
      </c>
      <c r="BH15" s="19">
        <v>0.6</v>
      </c>
      <c r="BI15" s="12" t="s">
        <v>1202</v>
      </c>
      <c r="BJ15" s="19">
        <v>34.770000000000003</v>
      </c>
      <c r="BK15" s="19">
        <v>39.090000000000003</v>
      </c>
      <c r="BL15" s="19">
        <v>1.1299999999999999</v>
      </c>
      <c r="BM15" s="19">
        <v>1.1200000000000001</v>
      </c>
      <c r="BN15" s="19">
        <v>72.75</v>
      </c>
      <c r="BO15" s="19">
        <v>77.040000000000006</v>
      </c>
      <c r="BP15" s="19">
        <v>1.31</v>
      </c>
      <c r="BQ15" s="19">
        <v>1.39</v>
      </c>
      <c r="BR15" s="19">
        <v>15.64</v>
      </c>
      <c r="BS15" s="19">
        <v>15.76</v>
      </c>
      <c r="BT15" s="19">
        <v>57.43</v>
      </c>
      <c r="BU15" s="19">
        <v>57</v>
      </c>
      <c r="BV15" s="19">
        <v>82.86</v>
      </c>
      <c r="BW15" s="19">
        <v>88.73</v>
      </c>
    </row>
    <row r="16" spans="1:75" ht="11.85" customHeight="1">
      <c r="A16" s="636" t="s">
        <v>1203</v>
      </c>
      <c r="B16" s="580">
        <v>33.83</v>
      </c>
      <c r="C16" s="580">
        <v>38.630000000000003</v>
      </c>
      <c r="D16" s="580">
        <v>57.9</v>
      </c>
      <c r="E16" s="580">
        <v>57.9</v>
      </c>
      <c r="F16" s="580">
        <v>153.6</v>
      </c>
      <c r="G16" s="580">
        <v>153.6</v>
      </c>
      <c r="H16" s="580">
        <v>38.4</v>
      </c>
      <c r="I16" s="580">
        <v>43.01</v>
      </c>
      <c r="J16" s="580">
        <v>6.99</v>
      </c>
      <c r="K16" s="580">
        <v>6.99</v>
      </c>
      <c r="L16" s="580">
        <v>8.16</v>
      </c>
      <c r="M16" s="580">
        <v>8.91</v>
      </c>
      <c r="N16" s="580">
        <v>60.63</v>
      </c>
      <c r="O16" s="580">
        <v>66.209999999999994</v>
      </c>
      <c r="P16" s="552" t="s">
        <v>1203</v>
      </c>
      <c r="Q16" s="580">
        <v>7.42</v>
      </c>
      <c r="R16" s="580">
        <v>7.42</v>
      </c>
      <c r="S16" s="580">
        <v>1.21</v>
      </c>
      <c r="T16" s="580">
        <v>1.25</v>
      </c>
      <c r="U16" s="580">
        <v>0.01</v>
      </c>
      <c r="V16" s="580">
        <v>0.01</v>
      </c>
      <c r="W16" s="580">
        <v>0.01</v>
      </c>
      <c r="X16" s="580">
        <v>0.01</v>
      </c>
      <c r="Y16" s="580">
        <v>0.48</v>
      </c>
      <c r="Z16" s="580">
        <v>0.48</v>
      </c>
      <c r="AA16" s="580">
        <v>192.62</v>
      </c>
      <c r="AB16" s="580">
        <v>193.26</v>
      </c>
      <c r="AC16" s="580">
        <v>15.24</v>
      </c>
      <c r="AD16" s="580">
        <v>15.24</v>
      </c>
      <c r="AE16" s="636" t="s">
        <v>1203</v>
      </c>
      <c r="AF16" s="580">
        <v>9.2100000000000009</v>
      </c>
      <c r="AG16" s="580">
        <v>9.5399999999999991</v>
      </c>
      <c r="AH16" s="580">
        <v>0.74</v>
      </c>
      <c r="AI16" s="580">
        <v>0.76</v>
      </c>
      <c r="AJ16" s="580">
        <v>30.16</v>
      </c>
      <c r="AK16" s="580">
        <v>33.69</v>
      </c>
      <c r="AL16" s="580">
        <v>8</v>
      </c>
      <c r="AM16" s="580">
        <v>7.98</v>
      </c>
      <c r="AN16" s="580">
        <v>150.4</v>
      </c>
      <c r="AO16" s="580">
        <v>150.41</v>
      </c>
      <c r="AP16" s="580">
        <v>0.99</v>
      </c>
      <c r="AQ16" s="580">
        <v>1</v>
      </c>
      <c r="AR16" s="580">
        <v>1.0900000000000001</v>
      </c>
      <c r="AS16" s="580">
        <v>1.08</v>
      </c>
      <c r="AT16" s="636" t="s">
        <v>1203</v>
      </c>
      <c r="AU16" s="580">
        <v>15.91</v>
      </c>
      <c r="AV16" s="580">
        <v>15.91</v>
      </c>
      <c r="AW16" s="580">
        <v>1.84</v>
      </c>
      <c r="AX16" s="580">
        <v>1.91</v>
      </c>
      <c r="AY16" s="580">
        <v>15.44</v>
      </c>
      <c r="AZ16" s="580">
        <v>15.44</v>
      </c>
      <c r="BA16" s="580">
        <v>0.05</v>
      </c>
      <c r="BB16" s="580">
        <v>0.05</v>
      </c>
      <c r="BC16" s="580">
        <v>33.01</v>
      </c>
      <c r="BD16" s="580">
        <v>32.96</v>
      </c>
      <c r="BE16" s="580">
        <v>6.63</v>
      </c>
      <c r="BF16" s="580">
        <v>7.21</v>
      </c>
      <c r="BG16" s="580">
        <v>0.6</v>
      </c>
      <c r="BH16" s="580">
        <v>0.6</v>
      </c>
      <c r="BI16" s="552" t="s">
        <v>1203</v>
      </c>
      <c r="BJ16" s="580">
        <v>41.01</v>
      </c>
      <c r="BK16" s="580">
        <v>42.9</v>
      </c>
      <c r="BL16" s="580">
        <v>1.19</v>
      </c>
      <c r="BM16" s="580">
        <v>1.26</v>
      </c>
      <c r="BN16" s="580">
        <v>78.41</v>
      </c>
      <c r="BO16" s="580">
        <v>81.16</v>
      </c>
      <c r="BP16" s="580">
        <v>1.36</v>
      </c>
      <c r="BQ16" s="580">
        <v>1.38</v>
      </c>
      <c r="BR16" s="580">
        <v>15.77</v>
      </c>
      <c r="BS16" s="580">
        <v>15.76</v>
      </c>
      <c r="BT16" s="580">
        <v>57.9</v>
      </c>
      <c r="BU16" s="580">
        <v>57.9</v>
      </c>
      <c r="BV16" s="580">
        <v>91.75</v>
      </c>
      <c r="BW16" s="580">
        <v>95.49</v>
      </c>
    </row>
    <row r="17" spans="1:75" ht="11.85" customHeight="1">
      <c r="A17" s="467" t="s">
        <v>1204</v>
      </c>
      <c r="B17" s="19">
        <v>42.18</v>
      </c>
      <c r="C17" s="19">
        <v>41.73</v>
      </c>
      <c r="D17" s="19">
        <v>58.98</v>
      </c>
      <c r="E17" s="19">
        <v>60.43</v>
      </c>
      <c r="F17" s="19">
        <v>156.35</v>
      </c>
      <c r="G17" s="19">
        <v>160.30000000000001</v>
      </c>
      <c r="H17" s="19">
        <v>43.93</v>
      </c>
      <c r="I17" s="19">
        <v>44.93</v>
      </c>
      <c r="J17" s="19">
        <v>7.12</v>
      </c>
      <c r="K17" s="19">
        <v>7.3</v>
      </c>
      <c r="L17" s="19">
        <v>9.48</v>
      </c>
      <c r="M17" s="19">
        <v>9.83</v>
      </c>
      <c r="N17" s="19">
        <v>70.459999999999994</v>
      </c>
      <c r="O17" s="19">
        <v>73.03</v>
      </c>
      <c r="P17" s="12" t="s">
        <v>1204</v>
      </c>
      <c r="Q17" s="19">
        <v>7.58</v>
      </c>
      <c r="R17" s="19">
        <v>7.75</v>
      </c>
      <c r="S17" s="19">
        <v>1.3</v>
      </c>
      <c r="T17" s="19">
        <v>1.31</v>
      </c>
      <c r="U17" s="19">
        <v>0.01</v>
      </c>
      <c r="V17" s="19">
        <v>0.01</v>
      </c>
      <c r="W17" s="19">
        <v>0.01</v>
      </c>
      <c r="X17" s="19">
        <v>0.01</v>
      </c>
      <c r="Y17" s="19">
        <v>0.53</v>
      </c>
      <c r="Z17" s="19">
        <v>0.56000000000000005</v>
      </c>
      <c r="AA17" s="19">
        <v>199.4</v>
      </c>
      <c r="AB17" s="19">
        <v>204.97</v>
      </c>
      <c r="AC17" s="19">
        <v>15.51</v>
      </c>
      <c r="AD17" s="19">
        <v>15.9</v>
      </c>
      <c r="AE17" s="467" t="s">
        <v>1204</v>
      </c>
      <c r="AF17" s="19">
        <v>10.029999999999999</v>
      </c>
      <c r="AG17" s="19">
        <v>10.44</v>
      </c>
      <c r="AH17" s="19">
        <v>0.8</v>
      </c>
      <c r="AI17" s="19">
        <v>0.81</v>
      </c>
      <c r="AJ17" s="19">
        <v>37.08</v>
      </c>
      <c r="AK17" s="19">
        <v>38.18</v>
      </c>
      <c r="AL17" s="19">
        <v>8.4499999999999993</v>
      </c>
      <c r="AM17" s="19">
        <v>8.74</v>
      </c>
      <c r="AN17" s="19">
        <v>153.19999999999999</v>
      </c>
      <c r="AO17" s="19">
        <v>156.97</v>
      </c>
      <c r="AP17" s="19">
        <v>1.02</v>
      </c>
      <c r="AQ17" s="19">
        <v>1.04</v>
      </c>
      <c r="AR17" s="19">
        <v>1.06</v>
      </c>
      <c r="AS17" s="19">
        <v>1.08</v>
      </c>
      <c r="AT17" s="467" t="s">
        <v>1204</v>
      </c>
      <c r="AU17" s="19">
        <v>16.149999999999999</v>
      </c>
      <c r="AV17" s="19">
        <v>16.600000000000001</v>
      </c>
      <c r="AW17" s="19">
        <v>2</v>
      </c>
      <c r="AX17" s="19">
        <v>2.08</v>
      </c>
      <c r="AY17" s="19">
        <v>15.71</v>
      </c>
      <c r="AZ17" s="19">
        <v>16.11</v>
      </c>
      <c r="BA17" s="19">
        <v>0.05</v>
      </c>
      <c r="BB17" s="19">
        <v>0.05</v>
      </c>
      <c r="BC17" s="19">
        <v>34.35</v>
      </c>
      <c r="BD17" s="19">
        <v>35.200000000000003</v>
      </c>
      <c r="BE17" s="19">
        <v>7.72</v>
      </c>
      <c r="BF17" s="19">
        <v>8.01</v>
      </c>
      <c r="BG17" s="19">
        <v>0.6</v>
      </c>
      <c r="BH17" s="19">
        <v>0.59</v>
      </c>
      <c r="BI17" s="12" t="s">
        <v>1204</v>
      </c>
      <c r="BJ17" s="19">
        <v>45.44</v>
      </c>
      <c r="BK17" s="19">
        <v>47.74</v>
      </c>
      <c r="BL17" s="19">
        <v>1.21</v>
      </c>
      <c r="BM17" s="19">
        <v>1.24</v>
      </c>
      <c r="BN17" s="19">
        <v>85.32</v>
      </c>
      <c r="BO17" s="19">
        <v>88.68</v>
      </c>
      <c r="BP17" s="19">
        <v>1.21</v>
      </c>
      <c r="BQ17" s="19">
        <v>1.48</v>
      </c>
      <c r="BR17" s="19">
        <v>16.059999999999999</v>
      </c>
      <c r="BS17" s="19">
        <v>16.45</v>
      </c>
      <c r="BT17" s="19">
        <v>58.94</v>
      </c>
      <c r="BU17" s="19">
        <v>60.43</v>
      </c>
      <c r="BV17" s="19">
        <v>108.07</v>
      </c>
      <c r="BW17" s="19">
        <v>109.21</v>
      </c>
    </row>
    <row r="18" spans="1:75" ht="11.85" customHeight="1">
      <c r="A18" s="636" t="s">
        <v>1205</v>
      </c>
      <c r="B18" s="580">
        <v>46.28</v>
      </c>
      <c r="C18" s="580">
        <v>48.54</v>
      </c>
      <c r="D18" s="580">
        <v>61.39</v>
      </c>
      <c r="E18" s="580">
        <v>63.75</v>
      </c>
      <c r="F18" s="580">
        <v>162.9</v>
      </c>
      <c r="G18" s="580">
        <v>169.1</v>
      </c>
      <c r="H18" s="580">
        <v>49.19</v>
      </c>
      <c r="I18" s="580">
        <v>51.89</v>
      </c>
      <c r="J18" s="580">
        <v>7.42</v>
      </c>
      <c r="K18" s="580">
        <v>7.7</v>
      </c>
      <c r="L18" s="580">
        <v>10.5</v>
      </c>
      <c r="M18" s="580">
        <v>10.32</v>
      </c>
      <c r="N18" s="580">
        <v>78.16</v>
      </c>
      <c r="O18" s="580">
        <v>76.900000000000006</v>
      </c>
      <c r="P18" s="552" t="s">
        <v>1205</v>
      </c>
      <c r="Q18" s="580">
        <v>7.88</v>
      </c>
      <c r="R18" s="580">
        <v>8.1999999999999993</v>
      </c>
      <c r="S18" s="580">
        <v>1.38</v>
      </c>
      <c r="T18" s="580">
        <v>1.46</v>
      </c>
      <c r="U18" s="580">
        <v>0.01</v>
      </c>
      <c r="V18" s="580">
        <v>0.01</v>
      </c>
      <c r="W18" s="580">
        <v>0.01</v>
      </c>
      <c r="X18" s="580">
        <v>0.01</v>
      </c>
      <c r="Y18" s="580">
        <v>0.56999999999999995</v>
      </c>
      <c r="Z18" s="580">
        <v>0.57999999999999996</v>
      </c>
      <c r="AA18" s="580">
        <v>209.31</v>
      </c>
      <c r="AB18" s="580">
        <v>218.34</v>
      </c>
      <c r="AC18" s="580">
        <v>16.16</v>
      </c>
      <c r="AD18" s="580">
        <v>16.760000000000002</v>
      </c>
      <c r="AE18" s="636" t="s">
        <v>1205</v>
      </c>
      <c r="AF18" s="580">
        <v>12.98</v>
      </c>
      <c r="AG18" s="580">
        <v>15.04</v>
      </c>
      <c r="AH18" s="580">
        <v>0.85</v>
      </c>
      <c r="AI18" s="580">
        <v>0.9</v>
      </c>
      <c r="AJ18" s="580">
        <v>42.77</v>
      </c>
      <c r="AK18" s="580">
        <v>44.58</v>
      </c>
      <c r="AL18" s="580">
        <v>9.5399999999999991</v>
      </c>
      <c r="AM18" s="580">
        <v>9.7200000000000006</v>
      </c>
      <c r="AN18" s="580">
        <v>158.99</v>
      </c>
      <c r="AO18" s="580">
        <v>165.59</v>
      </c>
      <c r="AP18" s="580">
        <v>1.03</v>
      </c>
      <c r="AQ18" s="580">
        <v>1.07</v>
      </c>
      <c r="AR18" s="580">
        <v>1.1100000000000001</v>
      </c>
      <c r="AS18" s="580">
        <v>1.1399999999999999</v>
      </c>
      <c r="AT18" s="636" t="s">
        <v>1205</v>
      </c>
      <c r="AU18" s="580">
        <v>16.87</v>
      </c>
      <c r="AV18" s="580">
        <v>17.510000000000002</v>
      </c>
      <c r="AW18" s="580">
        <v>2.16</v>
      </c>
      <c r="AX18" s="580">
        <v>2.2200000000000002</v>
      </c>
      <c r="AY18" s="580">
        <v>16.37</v>
      </c>
      <c r="AZ18" s="580">
        <v>17</v>
      </c>
      <c r="BA18" s="580">
        <v>0.06</v>
      </c>
      <c r="BB18" s="580">
        <v>0.06</v>
      </c>
      <c r="BC18" s="580">
        <v>36.96</v>
      </c>
      <c r="BD18" s="580">
        <v>37.82</v>
      </c>
      <c r="BE18" s="580">
        <v>8.57</v>
      </c>
      <c r="BF18" s="580">
        <v>8.15</v>
      </c>
      <c r="BG18" s="580">
        <v>0.6</v>
      </c>
      <c r="BH18" s="580">
        <v>0.64</v>
      </c>
      <c r="BI18" s="552" t="s">
        <v>1205</v>
      </c>
      <c r="BJ18" s="580">
        <v>50.7</v>
      </c>
      <c r="BK18" s="580">
        <v>49.68</v>
      </c>
      <c r="BL18" s="580">
        <v>1.2</v>
      </c>
      <c r="BM18" s="580">
        <v>1.22</v>
      </c>
      <c r="BN18" s="580">
        <v>91.99</v>
      </c>
      <c r="BO18" s="580">
        <v>93.02</v>
      </c>
      <c r="BP18" s="580">
        <v>1.53</v>
      </c>
      <c r="BQ18" s="580">
        <v>1.54</v>
      </c>
      <c r="BR18" s="580">
        <v>16.72</v>
      </c>
      <c r="BS18" s="580">
        <v>17.36</v>
      </c>
      <c r="BT18" s="580">
        <v>61.39</v>
      </c>
      <c r="BU18" s="580">
        <v>63</v>
      </c>
      <c r="BV18" s="580">
        <v>114.11</v>
      </c>
      <c r="BW18" s="580">
        <v>115.74</v>
      </c>
    </row>
    <row r="19" spans="1:75" ht="11.85" customHeight="1">
      <c r="A19" s="467" t="s">
        <v>1210</v>
      </c>
      <c r="B19" s="19">
        <v>50.17</v>
      </c>
      <c r="C19" s="19">
        <v>50.81</v>
      </c>
      <c r="D19" s="19">
        <v>67.08</v>
      </c>
      <c r="E19" s="19">
        <v>69.67</v>
      </c>
      <c r="F19" s="19">
        <v>177.96</v>
      </c>
      <c r="G19" s="19">
        <v>184.9</v>
      </c>
      <c r="H19" s="19">
        <v>57.72</v>
      </c>
      <c r="I19" s="19">
        <v>62.07</v>
      </c>
      <c r="J19" s="19">
        <v>8.31</v>
      </c>
      <c r="K19" s="19">
        <v>8.7100000000000009</v>
      </c>
      <c r="L19" s="19">
        <v>10.96</v>
      </c>
      <c r="M19" s="19">
        <v>11.73</v>
      </c>
      <c r="N19" s="19">
        <v>81.739999999999995</v>
      </c>
      <c r="O19" s="19">
        <v>87.49</v>
      </c>
      <c r="P19" s="12" t="s">
        <v>1210</v>
      </c>
      <c r="Q19" s="19">
        <v>8.65</v>
      </c>
      <c r="R19" s="19">
        <v>8.9700000000000006</v>
      </c>
      <c r="S19" s="19">
        <v>1.5</v>
      </c>
      <c r="T19" s="19">
        <v>1.51</v>
      </c>
      <c r="U19" s="19">
        <v>0.01</v>
      </c>
      <c r="V19" s="19">
        <v>0.01</v>
      </c>
      <c r="W19" s="19">
        <v>0.01</v>
      </c>
      <c r="X19" s="19">
        <v>0.01</v>
      </c>
      <c r="Y19" s="19">
        <v>0.59</v>
      </c>
      <c r="Z19" s="19">
        <v>0.6</v>
      </c>
      <c r="AA19" s="19">
        <v>230.07</v>
      </c>
      <c r="AB19" s="19">
        <v>240.95</v>
      </c>
      <c r="AC19" s="19">
        <v>18</v>
      </c>
      <c r="AD19" s="19">
        <v>18.899999999999999</v>
      </c>
      <c r="AE19" s="467" t="s">
        <v>1210</v>
      </c>
      <c r="AF19" s="19">
        <v>15.66</v>
      </c>
      <c r="AG19" s="19">
        <v>15.95</v>
      </c>
      <c r="AH19" s="19">
        <v>0.93</v>
      </c>
      <c r="AI19" s="19">
        <v>0.94</v>
      </c>
      <c r="AJ19" s="19">
        <v>44.82</v>
      </c>
      <c r="AK19" s="19">
        <v>41.58</v>
      </c>
      <c r="AL19" s="19">
        <v>10.34</v>
      </c>
      <c r="AM19" s="19">
        <v>11.08</v>
      </c>
      <c r="AN19" s="19">
        <v>174.24</v>
      </c>
      <c r="AO19" s="19">
        <v>180.94</v>
      </c>
      <c r="AP19" s="19">
        <v>1.1200000000000001</v>
      </c>
      <c r="AQ19" s="19">
        <v>1.1599999999999999</v>
      </c>
      <c r="AR19" s="19">
        <v>1.25</v>
      </c>
      <c r="AS19" s="19">
        <v>1.3</v>
      </c>
      <c r="AT19" s="467" t="s">
        <v>1210</v>
      </c>
      <c r="AU19" s="19">
        <v>18.43</v>
      </c>
      <c r="AV19" s="19">
        <v>19.14</v>
      </c>
      <c r="AW19" s="19">
        <v>2.38</v>
      </c>
      <c r="AX19" s="19">
        <v>2.57</v>
      </c>
      <c r="AY19" s="19">
        <v>17.89</v>
      </c>
      <c r="AZ19" s="19">
        <v>18.579999999999998</v>
      </c>
      <c r="BA19" s="19">
        <v>7.0000000000000007E-2</v>
      </c>
      <c r="BB19" s="19">
        <v>7.0000000000000007E-2</v>
      </c>
      <c r="BC19" s="19">
        <v>40.840000000000003</v>
      </c>
      <c r="BD19" s="19">
        <v>43.57</v>
      </c>
      <c r="BE19" s="19">
        <v>8.7200000000000006</v>
      </c>
      <c r="BF19" s="19">
        <v>9.48</v>
      </c>
      <c r="BG19" s="19">
        <v>0.66</v>
      </c>
      <c r="BH19" s="19">
        <v>0.67</v>
      </c>
      <c r="BI19" s="12" t="s">
        <v>1210</v>
      </c>
      <c r="BJ19" s="19">
        <v>52.54</v>
      </c>
      <c r="BK19" s="19">
        <v>55.92</v>
      </c>
      <c r="BL19" s="19">
        <v>1.29</v>
      </c>
      <c r="BM19" s="19">
        <v>1.33</v>
      </c>
      <c r="BN19" s="19">
        <v>97.78</v>
      </c>
      <c r="BO19" s="19">
        <v>102.41</v>
      </c>
      <c r="BP19" s="19">
        <v>1.68</v>
      </c>
      <c r="BQ19" s="19">
        <v>1.81</v>
      </c>
      <c r="BR19" s="19">
        <v>18.27</v>
      </c>
      <c r="BS19" s="19">
        <v>18.97</v>
      </c>
      <c r="BT19" s="19">
        <v>67.08</v>
      </c>
      <c r="BU19" s="19">
        <v>69.67</v>
      </c>
      <c r="BV19" s="19">
        <v>119.41</v>
      </c>
      <c r="BW19" s="19">
        <v>126.71</v>
      </c>
    </row>
    <row r="20" spans="1:75" ht="11.85" customHeight="1">
      <c r="A20" s="636" t="s">
        <v>1219</v>
      </c>
      <c r="B20" s="580">
        <v>54.28</v>
      </c>
      <c r="C20" s="537">
        <v>58.35</v>
      </c>
      <c r="D20" s="580">
        <v>69.03</v>
      </c>
      <c r="E20" s="537">
        <v>68.8</v>
      </c>
      <c r="F20" s="580">
        <v>182.61</v>
      </c>
      <c r="G20" s="537">
        <v>181.82</v>
      </c>
      <c r="H20" s="580">
        <v>61.01</v>
      </c>
      <c r="I20" s="537">
        <v>64.59</v>
      </c>
      <c r="J20" s="580">
        <v>8.83</v>
      </c>
      <c r="K20" s="580">
        <v>9.0299999999999994</v>
      </c>
      <c r="L20" s="580">
        <v>12.09</v>
      </c>
      <c r="M20" s="580">
        <v>12.51</v>
      </c>
      <c r="N20" s="580">
        <v>90.17</v>
      </c>
      <c r="O20" s="580">
        <v>93.11</v>
      </c>
      <c r="P20" s="552" t="s">
        <v>1219</v>
      </c>
      <c r="Q20" s="580">
        <v>8.86</v>
      </c>
      <c r="R20" s="580">
        <v>8.8000000000000007</v>
      </c>
      <c r="S20" s="580">
        <v>1.57</v>
      </c>
      <c r="T20" s="580">
        <v>1.7</v>
      </c>
      <c r="U20" s="580">
        <v>0.01</v>
      </c>
      <c r="V20" s="580">
        <v>0.01</v>
      </c>
      <c r="W20" s="580">
        <v>0.01</v>
      </c>
      <c r="X20" s="580">
        <v>0.01</v>
      </c>
      <c r="Y20" s="580">
        <v>0.57999999999999996</v>
      </c>
      <c r="Z20" s="580">
        <v>0.56000000000000005</v>
      </c>
      <c r="AA20" s="580">
        <v>238.76</v>
      </c>
      <c r="AB20" s="580">
        <v>237.98</v>
      </c>
      <c r="AC20" s="580">
        <v>19.43</v>
      </c>
      <c r="AD20" s="580">
        <v>19.93</v>
      </c>
      <c r="AE20" s="636" t="s">
        <v>1219</v>
      </c>
      <c r="AF20" s="580">
        <v>12.2</v>
      </c>
      <c r="AG20" s="580">
        <v>10.72</v>
      </c>
      <c r="AH20" s="580">
        <v>0.98</v>
      </c>
      <c r="AI20" s="580">
        <v>1.05</v>
      </c>
      <c r="AJ20" s="580">
        <v>47.4</v>
      </c>
      <c r="AK20" s="580">
        <v>53.08</v>
      </c>
      <c r="AL20" s="580">
        <v>11.07</v>
      </c>
      <c r="AM20" s="580">
        <v>11.66</v>
      </c>
      <c r="AN20" s="580">
        <v>179.29</v>
      </c>
      <c r="AO20" s="580">
        <v>178.7</v>
      </c>
      <c r="AP20" s="580">
        <v>1.1399999999999999</v>
      </c>
      <c r="AQ20" s="580">
        <v>1.1399999999999999</v>
      </c>
      <c r="AR20" s="580">
        <v>1.41</v>
      </c>
      <c r="AS20" s="580">
        <v>1.49</v>
      </c>
      <c r="AT20" s="636" t="s">
        <v>1219</v>
      </c>
      <c r="AU20" s="580">
        <v>18.96</v>
      </c>
      <c r="AV20" s="580">
        <v>18.899999999999999</v>
      </c>
      <c r="AW20" s="580">
        <v>2.62</v>
      </c>
      <c r="AX20" s="580">
        <v>2.68</v>
      </c>
      <c r="AY20" s="580">
        <v>18.41</v>
      </c>
      <c r="AZ20" s="580">
        <v>18.34</v>
      </c>
      <c r="BA20" s="580">
        <v>7.0000000000000007E-2</v>
      </c>
      <c r="BB20" s="580">
        <v>7.0000000000000007E-2</v>
      </c>
      <c r="BC20" s="580">
        <v>44.59</v>
      </c>
      <c r="BD20" s="580">
        <v>44.93</v>
      </c>
      <c r="BE20" s="580">
        <v>9.8000000000000007</v>
      </c>
      <c r="BF20" s="580">
        <v>10.08</v>
      </c>
      <c r="BG20" s="580">
        <v>0.64</v>
      </c>
      <c r="BH20" s="580">
        <v>0.62</v>
      </c>
      <c r="BI20" s="552" t="s">
        <v>1219</v>
      </c>
      <c r="BJ20" s="580">
        <v>56.06</v>
      </c>
      <c r="BK20" s="580">
        <v>56.28</v>
      </c>
      <c r="BL20" s="580">
        <v>1.32</v>
      </c>
      <c r="BM20" s="580">
        <v>1.31</v>
      </c>
      <c r="BN20" s="580">
        <v>103.35</v>
      </c>
      <c r="BO20" s="580">
        <v>104.27</v>
      </c>
      <c r="BP20" s="580">
        <v>1.97</v>
      </c>
      <c r="BQ20" s="580">
        <v>2.17</v>
      </c>
      <c r="BR20" s="580">
        <v>18.84</v>
      </c>
      <c r="BS20" s="580">
        <v>18.899999999999999</v>
      </c>
      <c r="BT20" s="580">
        <v>69.03</v>
      </c>
      <c r="BU20" s="580">
        <v>68.8</v>
      </c>
      <c r="BV20" s="580">
        <v>133.44</v>
      </c>
      <c r="BW20" s="580">
        <v>138.15</v>
      </c>
    </row>
    <row r="21" spans="1:75" ht="11.85" customHeight="1">
      <c r="A21" s="467" t="s">
        <v>916</v>
      </c>
      <c r="B21" s="20">
        <v>61.53</v>
      </c>
      <c r="C21" s="20">
        <v>65.78</v>
      </c>
      <c r="D21" s="20">
        <v>68.599999999999994</v>
      </c>
      <c r="E21" s="20">
        <v>68.52</v>
      </c>
      <c r="F21" s="20">
        <v>183.95</v>
      </c>
      <c r="G21" s="20">
        <v>181.81</v>
      </c>
      <c r="H21" s="20">
        <v>67.819999999999993</v>
      </c>
      <c r="I21" s="20">
        <v>67.78</v>
      </c>
      <c r="J21" s="20">
        <v>9.44</v>
      </c>
      <c r="K21" s="20">
        <v>9.99</v>
      </c>
      <c r="L21" s="20">
        <v>13.54</v>
      </c>
      <c r="M21" s="20">
        <v>14.5</v>
      </c>
      <c r="N21" s="20">
        <v>100.96</v>
      </c>
      <c r="O21" s="20">
        <v>108.18</v>
      </c>
      <c r="P21" s="12" t="s">
        <v>916</v>
      </c>
      <c r="Q21" s="20">
        <v>8.8000000000000007</v>
      </c>
      <c r="R21" s="20">
        <v>8.7799999999999994</v>
      </c>
      <c r="S21" s="20">
        <v>1.71</v>
      </c>
      <c r="T21" s="20">
        <v>1.6</v>
      </c>
      <c r="U21" s="20">
        <v>0.01</v>
      </c>
      <c r="V21" s="20">
        <v>0.01</v>
      </c>
      <c r="W21" s="20">
        <v>0.01</v>
      </c>
      <c r="X21" s="20">
        <v>0.01</v>
      </c>
      <c r="Y21" s="20">
        <v>0.62</v>
      </c>
      <c r="Z21" s="20">
        <v>0.65</v>
      </c>
      <c r="AA21" s="20">
        <v>245.83</v>
      </c>
      <c r="AB21" s="20">
        <v>257.67</v>
      </c>
      <c r="AC21" s="20">
        <v>20.72</v>
      </c>
      <c r="AD21" s="20">
        <v>20.98</v>
      </c>
      <c r="AE21" s="467" t="s">
        <v>916</v>
      </c>
      <c r="AF21" s="20">
        <v>10.69</v>
      </c>
      <c r="AG21" s="20">
        <v>10.67</v>
      </c>
      <c r="AH21" s="20">
        <v>1.06</v>
      </c>
      <c r="AI21" s="20">
        <v>1</v>
      </c>
      <c r="AJ21" s="20">
        <v>52.75</v>
      </c>
      <c r="AK21" s="20">
        <v>52.1</v>
      </c>
      <c r="AL21" s="20">
        <v>12.74</v>
      </c>
      <c r="AM21" s="20">
        <v>13.53</v>
      </c>
      <c r="AN21" s="440">
        <v>178.24</v>
      </c>
      <c r="AO21" s="440">
        <v>177.94</v>
      </c>
      <c r="AP21" s="440">
        <v>1.1000000000000001</v>
      </c>
      <c r="AQ21" s="440">
        <v>1</v>
      </c>
      <c r="AR21" s="440">
        <v>1.6</v>
      </c>
      <c r="AS21" s="440">
        <v>1.53</v>
      </c>
      <c r="AT21" s="467" t="s">
        <v>916</v>
      </c>
      <c r="AU21" s="440">
        <v>18.850000000000001</v>
      </c>
      <c r="AV21" s="440">
        <v>18.84</v>
      </c>
      <c r="AW21" s="440">
        <v>2.8</v>
      </c>
      <c r="AX21" s="440">
        <v>2.93</v>
      </c>
      <c r="AY21" s="440">
        <v>18.32</v>
      </c>
      <c r="AZ21" s="440">
        <v>18.27</v>
      </c>
      <c r="BA21" s="440">
        <v>7.0000000000000007E-2</v>
      </c>
      <c r="BB21" s="440">
        <v>7.0000000000000007E-2</v>
      </c>
      <c r="BC21" s="440">
        <v>47.84</v>
      </c>
      <c r="BD21" s="440">
        <v>50.26</v>
      </c>
      <c r="BE21" s="440">
        <v>10.82</v>
      </c>
      <c r="BF21" s="440">
        <v>11.46</v>
      </c>
      <c r="BG21" s="20">
        <v>0.63</v>
      </c>
      <c r="BH21" s="20">
        <v>0.64</v>
      </c>
      <c r="BI21" s="467" t="s">
        <v>916</v>
      </c>
      <c r="BJ21" s="20">
        <v>62</v>
      </c>
      <c r="BK21" s="21">
        <v>67.290000000000006</v>
      </c>
      <c r="BL21" s="20">
        <v>1.34</v>
      </c>
      <c r="BM21" s="20">
        <v>1.34</v>
      </c>
      <c r="BN21" s="20">
        <v>108.64</v>
      </c>
      <c r="BO21" s="20">
        <v>111.68</v>
      </c>
      <c r="BP21" s="20">
        <v>2.1800000000000002</v>
      </c>
      <c r="BQ21" s="20">
        <v>2.04</v>
      </c>
      <c r="BR21" s="20">
        <v>18.68</v>
      </c>
      <c r="BS21" s="20">
        <v>18.66</v>
      </c>
      <c r="BT21" s="20">
        <v>68.599999999999994</v>
      </c>
      <c r="BU21" s="20">
        <v>68.52</v>
      </c>
      <c r="BV21" s="20">
        <v>137.47999999999999</v>
      </c>
      <c r="BW21" s="20">
        <v>136.66</v>
      </c>
    </row>
    <row r="22" spans="1:75" ht="11.85" customHeight="1">
      <c r="A22" s="636" t="s">
        <v>230</v>
      </c>
      <c r="B22" s="580">
        <v>51.44</v>
      </c>
      <c r="C22" s="580">
        <v>55.81</v>
      </c>
      <c r="D22" s="580">
        <v>68.803333333333327</v>
      </c>
      <c r="E22" s="580">
        <v>69.06</v>
      </c>
      <c r="F22" s="580">
        <v>182.53</v>
      </c>
      <c r="G22" s="580">
        <v>183.21</v>
      </c>
      <c r="H22" s="580">
        <v>59.38</v>
      </c>
      <c r="I22" s="580">
        <v>59.71</v>
      </c>
      <c r="J22" s="580">
        <v>10.065</v>
      </c>
      <c r="K22" s="580">
        <v>10.11</v>
      </c>
      <c r="L22" s="580">
        <v>12.68</v>
      </c>
      <c r="M22" s="580">
        <v>13.06</v>
      </c>
      <c r="N22" s="580">
        <v>94.52</v>
      </c>
      <c r="O22" s="580">
        <v>97.26</v>
      </c>
      <c r="P22" s="552" t="s">
        <v>230</v>
      </c>
      <c r="Q22" s="580">
        <v>8.8633333333333315</v>
      </c>
      <c r="R22" s="580">
        <v>8.91</v>
      </c>
      <c r="S22" s="580">
        <v>1.4483333333333335</v>
      </c>
      <c r="T22" s="580">
        <v>1.44</v>
      </c>
      <c r="U22" s="580">
        <v>9.9999999999999985E-3</v>
      </c>
      <c r="V22" s="580">
        <v>0.01</v>
      </c>
      <c r="W22" s="580">
        <v>9.9999999999999985E-3</v>
      </c>
      <c r="X22" s="580">
        <v>0.01</v>
      </c>
      <c r="Y22" s="580">
        <v>0.69916666666666671</v>
      </c>
      <c r="Z22" s="580">
        <v>0.72</v>
      </c>
      <c r="AA22" s="580">
        <v>254.38416666666663</v>
      </c>
      <c r="AB22" s="580">
        <v>238.3</v>
      </c>
      <c r="AC22" s="580">
        <v>19.582499999999996</v>
      </c>
      <c r="AD22" s="580">
        <v>19.600000000000001</v>
      </c>
      <c r="AE22" s="636" t="s">
        <v>230</v>
      </c>
      <c r="AF22" s="580">
        <v>10.715833333333334</v>
      </c>
      <c r="AG22" s="580">
        <v>10.76</v>
      </c>
      <c r="AH22" s="580">
        <v>0.9</v>
      </c>
      <c r="AI22" s="580">
        <v>0.89</v>
      </c>
      <c r="AJ22" s="580">
        <v>41.83</v>
      </c>
      <c r="AK22" s="580">
        <v>44.93</v>
      </c>
      <c r="AL22" s="580">
        <v>10.91</v>
      </c>
      <c r="AM22" s="580">
        <v>10.62</v>
      </c>
      <c r="AN22" s="536">
        <v>178.72833333333332</v>
      </c>
      <c r="AO22" s="536">
        <v>179.35</v>
      </c>
      <c r="AP22" s="536">
        <v>0.8783333333333333</v>
      </c>
      <c r="AQ22" s="536">
        <v>0.85</v>
      </c>
      <c r="AR22" s="536">
        <v>1.4591666666666665</v>
      </c>
      <c r="AS22" s="536">
        <v>1.43</v>
      </c>
      <c r="AT22" s="636" t="s">
        <v>230</v>
      </c>
      <c r="AU22" s="536">
        <v>18.907499999999999</v>
      </c>
      <c r="AV22" s="536">
        <v>18.98</v>
      </c>
      <c r="AW22" s="536">
        <v>2.39</v>
      </c>
      <c r="AX22" s="536">
        <v>2.2200000000000002</v>
      </c>
      <c r="AY22" s="536">
        <v>18.336666666666666</v>
      </c>
      <c r="AZ22" s="536">
        <v>18.41</v>
      </c>
      <c r="BA22" s="536">
        <v>0.06</v>
      </c>
      <c r="BB22" s="536">
        <v>0.05</v>
      </c>
      <c r="BC22" s="536">
        <v>46.96</v>
      </c>
      <c r="BD22" s="536">
        <v>47.59</v>
      </c>
      <c r="BE22" s="536">
        <v>9.19</v>
      </c>
      <c r="BF22" s="536">
        <v>9.0299999999999994</v>
      </c>
      <c r="BG22" s="580">
        <v>0.61666666666666659</v>
      </c>
      <c r="BH22" s="580">
        <v>0.6</v>
      </c>
      <c r="BI22" s="636" t="s">
        <v>230</v>
      </c>
      <c r="BJ22" s="580">
        <v>61.44</v>
      </c>
      <c r="BK22" s="537">
        <v>63.78</v>
      </c>
      <c r="BL22" s="580">
        <v>1.4400000000000002</v>
      </c>
      <c r="BM22" s="580">
        <v>1.5</v>
      </c>
      <c r="BN22" s="580">
        <v>105.15</v>
      </c>
      <c r="BO22" s="580">
        <v>107.07</v>
      </c>
      <c r="BP22" s="580">
        <v>1.9883333333333333</v>
      </c>
      <c r="BQ22" s="580">
        <v>2.0299999999999998</v>
      </c>
      <c r="BR22" s="580">
        <v>18.736666666666668</v>
      </c>
      <c r="BS22" s="580">
        <v>18.8</v>
      </c>
      <c r="BT22" s="580">
        <v>68.8</v>
      </c>
      <c r="BU22" s="580">
        <v>69.06</v>
      </c>
      <c r="BV22" s="580">
        <v>111.17</v>
      </c>
      <c r="BW22" s="580">
        <v>114.42</v>
      </c>
    </row>
    <row r="23" spans="1:75" ht="11.85" customHeight="1">
      <c r="A23" s="467" t="s">
        <v>220</v>
      </c>
      <c r="B23" s="21">
        <v>61.05</v>
      </c>
      <c r="C23" s="21">
        <v>58.93</v>
      </c>
      <c r="D23" s="21">
        <v>69.180000000000007</v>
      </c>
      <c r="E23" s="21">
        <v>69.45</v>
      </c>
      <c r="F23" s="21">
        <v>183.54</v>
      </c>
      <c r="G23" s="21">
        <v>184.2</v>
      </c>
      <c r="H23" s="21">
        <v>65.569999999999993</v>
      </c>
      <c r="I23" s="21">
        <v>65.67</v>
      </c>
      <c r="J23" s="21">
        <v>10.130000000000001</v>
      </c>
      <c r="K23" s="21">
        <v>10.23</v>
      </c>
      <c r="L23" s="21">
        <v>12.93</v>
      </c>
      <c r="M23" s="21">
        <v>11.37</v>
      </c>
      <c r="N23" s="21">
        <v>96.24</v>
      </c>
      <c r="O23" s="21">
        <v>84.66</v>
      </c>
      <c r="P23" s="467" t="s">
        <v>220</v>
      </c>
      <c r="Q23" s="21">
        <v>8.92</v>
      </c>
      <c r="R23" s="21">
        <v>8.92</v>
      </c>
      <c r="S23" s="21">
        <v>1.49</v>
      </c>
      <c r="T23" s="21">
        <v>1.5</v>
      </c>
      <c r="U23" s="21">
        <v>0.01</v>
      </c>
      <c r="V23" s="21">
        <v>0.01</v>
      </c>
      <c r="W23" s="21">
        <v>0.01</v>
      </c>
      <c r="X23" s="21">
        <v>0.01</v>
      </c>
      <c r="Y23" s="21">
        <v>0.76</v>
      </c>
      <c r="Z23" s="21">
        <v>0.78</v>
      </c>
      <c r="AA23" s="21">
        <v>253.28</v>
      </c>
      <c r="AB23" s="21">
        <v>238.89</v>
      </c>
      <c r="AC23" s="21">
        <v>20.47</v>
      </c>
      <c r="AD23" s="21">
        <v>21.33</v>
      </c>
      <c r="AE23" s="467" t="s">
        <v>220</v>
      </c>
      <c r="AF23" s="21">
        <v>10.78</v>
      </c>
      <c r="AG23" s="21">
        <v>10.82</v>
      </c>
      <c r="AH23" s="21">
        <v>0.93</v>
      </c>
      <c r="AI23" s="21">
        <v>0.93</v>
      </c>
      <c r="AJ23" s="21">
        <v>48.64</v>
      </c>
      <c r="AK23" s="21">
        <v>48.06</v>
      </c>
      <c r="AL23" s="21">
        <v>11.61</v>
      </c>
      <c r="AM23" s="21">
        <v>10.67</v>
      </c>
      <c r="AN23" s="21">
        <v>179.7</v>
      </c>
      <c r="AO23" s="21">
        <v>180.38</v>
      </c>
      <c r="AP23" s="21">
        <v>0.83</v>
      </c>
      <c r="AQ23" s="21">
        <v>0.81</v>
      </c>
      <c r="AR23" s="21">
        <v>1.49</v>
      </c>
      <c r="AS23" s="21">
        <v>1.5</v>
      </c>
      <c r="AT23" s="467" t="s">
        <v>220</v>
      </c>
      <c r="AU23" s="21">
        <v>19.010000000000002</v>
      </c>
      <c r="AV23" s="21">
        <v>19.079999999999998</v>
      </c>
      <c r="AW23" s="21">
        <v>2.29</v>
      </c>
      <c r="AX23" s="21">
        <v>2.2200000000000002</v>
      </c>
      <c r="AY23" s="21">
        <v>18.63</v>
      </c>
      <c r="AZ23" s="21">
        <v>18.52</v>
      </c>
      <c r="BA23" s="21">
        <v>0.06</v>
      </c>
      <c r="BB23" s="21">
        <v>0.06</v>
      </c>
      <c r="BC23" s="21">
        <v>49.19</v>
      </c>
      <c r="BD23" s="21">
        <v>49.51</v>
      </c>
      <c r="BE23" s="21">
        <v>9.5399999999999991</v>
      </c>
      <c r="BF23" s="21">
        <v>8.94</v>
      </c>
      <c r="BG23" s="21">
        <v>0.61</v>
      </c>
      <c r="BH23" s="21">
        <v>0.61</v>
      </c>
      <c r="BI23" s="467" t="s">
        <v>220</v>
      </c>
      <c r="BJ23" s="21">
        <v>65.19</v>
      </c>
      <c r="BK23" s="21">
        <v>64.180000000000007</v>
      </c>
      <c r="BL23" s="21">
        <v>1.5</v>
      </c>
      <c r="BM23" s="21">
        <v>1.48</v>
      </c>
      <c r="BN23" s="21">
        <v>106.99</v>
      </c>
      <c r="BO23" s="21">
        <v>184.2</v>
      </c>
      <c r="BP23" s="21">
        <v>2.09</v>
      </c>
      <c r="BQ23" s="21">
        <v>2.14</v>
      </c>
      <c r="BR23" s="21">
        <v>18.84</v>
      </c>
      <c r="BS23" s="21">
        <v>18.91</v>
      </c>
      <c r="BT23" s="21">
        <v>69.180000000000007</v>
      </c>
      <c r="BU23" s="21">
        <v>69.45</v>
      </c>
      <c r="BV23" s="21">
        <v>109.42</v>
      </c>
      <c r="BW23" s="21">
        <v>104.62</v>
      </c>
    </row>
    <row r="24" spans="1:75" ht="11.85" customHeight="1">
      <c r="A24" s="636" t="s">
        <v>489</v>
      </c>
      <c r="B24" s="537">
        <v>70.510000000000005</v>
      </c>
      <c r="C24" s="537">
        <v>79.22</v>
      </c>
      <c r="D24" s="537">
        <v>71.17</v>
      </c>
      <c r="E24" s="537">
        <v>74.150000000000006</v>
      </c>
      <c r="F24" s="537">
        <v>188.78</v>
      </c>
      <c r="G24" s="537">
        <v>196.65</v>
      </c>
      <c r="H24" s="537">
        <v>71.12</v>
      </c>
      <c r="I24" s="537">
        <v>76.41</v>
      </c>
      <c r="J24" s="537">
        <v>10.74</v>
      </c>
      <c r="K24" s="537">
        <v>11.46</v>
      </c>
      <c r="L24" s="537">
        <v>13.03</v>
      </c>
      <c r="M24" s="537">
        <v>14.35</v>
      </c>
      <c r="N24" s="537">
        <v>97.14</v>
      </c>
      <c r="O24" s="537">
        <v>107.02</v>
      </c>
      <c r="P24" s="636" t="s">
        <v>489</v>
      </c>
      <c r="Q24" s="537">
        <v>9.15</v>
      </c>
      <c r="R24" s="537">
        <v>9.5299999999999994</v>
      </c>
      <c r="S24" s="537">
        <v>1.57</v>
      </c>
      <c r="T24" s="537">
        <v>1.66</v>
      </c>
      <c r="U24" s="537">
        <v>0.01</v>
      </c>
      <c r="V24" s="537">
        <v>0.01</v>
      </c>
      <c r="W24" s="537">
        <v>0.01</v>
      </c>
      <c r="X24" s="537">
        <v>0.01</v>
      </c>
      <c r="Y24" s="537">
        <v>0.86</v>
      </c>
      <c r="Z24" s="537">
        <v>0.92</v>
      </c>
      <c r="AA24" s="537">
        <v>253.51</v>
      </c>
      <c r="AB24" s="537">
        <v>270.16000000000003</v>
      </c>
      <c r="AC24" s="537">
        <v>23.09</v>
      </c>
      <c r="AD24" s="537">
        <v>24.56</v>
      </c>
      <c r="AE24" s="636" t="s">
        <v>489</v>
      </c>
      <c r="AF24" s="537">
        <v>11.09</v>
      </c>
      <c r="AG24" s="537">
        <v>11.55</v>
      </c>
      <c r="AH24" s="537">
        <v>0.98</v>
      </c>
      <c r="AI24" s="537">
        <v>1.03</v>
      </c>
      <c r="AJ24" s="537">
        <v>53.99</v>
      </c>
      <c r="AK24" s="537">
        <v>61.19</v>
      </c>
      <c r="AL24" s="537">
        <v>12.28</v>
      </c>
      <c r="AM24" s="537">
        <v>13.78</v>
      </c>
      <c r="AN24" s="537">
        <v>184.85</v>
      </c>
      <c r="AO24" s="537">
        <v>192.58</v>
      </c>
      <c r="AP24" s="537">
        <v>0.83</v>
      </c>
      <c r="AQ24" s="537">
        <v>0.86</v>
      </c>
      <c r="AR24" s="537">
        <v>1.62</v>
      </c>
      <c r="AS24" s="537">
        <v>1.71</v>
      </c>
      <c r="AT24" s="636" t="s">
        <v>489</v>
      </c>
      <c r="AU24" s="537">
        <v>19.55</v>
      </c>
      <c r="AV24" s="537">
        <v>20.36</v>
      </c>
      <c r="AW24" s="537">
        <v>2.41</v>
      </c>
      <c r="AX24" s="537">
        <v>2.65</v>
      </c>
      <c r="AY24" s="537">
        <v>18.98</v>
      </c>
      <c r="AZ24" s="537">
        <v>19.77</v>
      </c>
      <c r="BA24" s="537">
        <v>0.06</v>
      </c>
      <c r="BB24" s="537">
        <v>7.0000000000000007E-2</v>
      </c>
      <c r="BC24" s="537">
        <v>55.09</v>
      </c>
      <c r="BD24" s="537">
        <v>60.14</v>
      </c>
      <c r="BE24" s="537">
        <v>10.67</v>
      </c>
      <c r="BF24" s="537">
        <v>11.75</v>
      </c>
      <c r="BG24" s="537">
        <v>0.64</v>
      </c>
      <c r="BH24" s="537">
        <v>0.68</v>
      </c>
      <c r="BI24" s="636" t="s">
        <v>489</v>
      </c>
      <c r="BJ24" s="537">
        <v>74.92</v>
      </c>
      <c r="BK24" s="537">
        <v>88.84</v>
      </c>
      <c r="BL24" s="537">
        <v>1.52</v>
      </c>
      <c r="BM24" s="537">
        <v>1.56</v>
      </c>
      <c r="BN24" s="537">
        <v>110.89</v>
      </c>
      <c r="BO24" s="537">
        <v>118.42</v>
      </c>
      <c r="BP24" s="537">
        <v>2.33</v>
      </c>
      <c r="BQ24" s="537">
        <v>2.41</v>
      </c>
      <c r="BR24" s="537">
        <v>19.38</v>
      </c>
      <c r="BS24" s="537">
        <v>20.190000000000001</v>
      </c>
      <c r="BT24" s="537">
        <v>71.17</v>
      </c>
      <c r="BU24" s="537">
        <v>74.150000000000006</v>
      </c>
      <c r="BV24" s="537">
        <v>113.26</v>
      </c>
      <c r="BW24" s="537">
        <v>119.13</v>
      </c>
    </row>
    <row r="25" spans="1:75" ht="11.85" customHeight="1">
      <c r="A25" s="467" t="s">
        <v>1580</v>
      </c>
      <c r="B25" s="21">
        <v>81.650000000000006</v>
      </c>
      <c r="C25" s="21">
        <v>83.78</v>
      </c>
      <c r="D25" s="21">
        <v>79.099999999999994</v>
      </c>
      <c r="E25" s="21">
        <v>81.819999999999993</v>
      </c>
      <c r="F25" s="21">
        <v>209.8</v>
      </c>
      <c r="G25" s="21">
        <v>217.03</v>
      </c>
      <c r="H25" s="21">
        <v>78.84</v>
      </c>
      <c r="I25" s="21">
        <v>80.45</v>
      </c>
      <c r="J25" s="21">
        <v>12.47</v>
      </c>
      <c r="K25" s="21">
        <v>12.94</v>
      </c>
      <c r="L25" s="21">
        <v>14.22</v>
      </c>
      <c r="M25" s="21">
        <v>13.91</v>
      </c>
      <c r="N25" s="21">
        <v>105.78</v>
      </c>
      <c r="O25" s="21">
        <v>103.45</v>
      </c>
      <c r="P25" s="467" t="s">
        <v>1580</v>
      </c>
      <c r="Q25" s="21">
        <v>10.18</v>
      </c>
      <c r="R25" s="21">
        <v>10.55</v>
      </c>
      <c r="S25" s="21">
        <v>1.58</v>
      </c>
      <c r="T25" s="21">
        <v>1.47</v>
      </c>
      <c r="U25" s="21">
        <v>0.01</v>
      </c>
      <c r="V25" s="21">
        <v>0.01</v>
      </c>
      <c r="W25" s="21">
        <v>0.01</v>
      </c>
      <c r="X25" s="21">
        <v>0.01</v>
      </c>
      <c r="Y25" s="21">
        <v>1.01</v>
      </c>
      <c r="Z25" s="21">
        <v>1.02</v>
      </c>
      <c r="AA25" s="21">
        <v>285.58</v>
      </c>
      <c r="AB25" s="21">
        <v>292.27</v>
      </c>
      <c r="AC25" s="21">
        <v>25.63</v>
      </c>
      <c r="AD25" s="21">
        <v>25.81</v>
      </c>
      <c r="AE25" s="467" t="s">
        <v>1580</v>
      </c>
      <c r="AF25" s="21">
        <v>12.32</v>
      </c>
      <c r="AG25" s="21">
        <v>12.74</v>
      </c>
      <c r="AH25" s="21">
        <v>0.99</v>
      </c>
      <c r="AI25" s="21">
        <v>0.9</v>
      </c>
      <c r="AJ25" s="21">
        <v>63.62</v>
      </c>
      <c r="AK25" s="21">
        <v>65.52</v>
      </c>
      <c r="AL25" s="21">
        <v>13.79</v>
      </c>
      <c r="AM25" s="21">
        <v>13.72</v>
      </c>
      <c r="AN25" s="21">
        <v>205.3</v>
      </c>
      <c r="AO25" s="21">
        <v>212.52</v>
      </c>
      <c r="AP25" s="21">
        <v>0.89</v>
      </c>
      <c r="AQ25" s="21">
        <v>0.87</v>
      </c>
      <c r="AR25" s="21">
        <v>1.84</v>
      </c>
      <c r="AS25" s="21">
        <v>1.94</v>
      </c>
      <c r="AT25" s="467" t="s">
        <v>1580</v>
      </c>
      <c r="AU25" s="21">
        <v>21.72</v>
      </c>
      <c r="AV25" s="21">
        <v>22.47</v>
      </c>
      <c r="AW25" s="21">
        <v>2.61</v>
      </c>
      <c r="AX25" s="21">
        <v>2.4900000000000002</v>
      </c>
      <c r="AY25" s="21">
        <v>21.09</v>
      </c>
      <c r="AZ25" s="21">
        <v>21.82</v>
      </c>
      <c r="BA25" s="21">
        <v>7.0000000000000007E-2</v>
      </c>
      <c r="BB25" s="21">
        <v>7.0000000000000007E-2</v>
      </c>
      <c r="BC25" s="21">
        <v>62.78</v>
      </c>
      <c r="BD25" s="21">
        <v>64.650000000000006</v>
      </c>
      <c r="BE25" s="21">
        <v>11.76</v>
      </c>
      <c r="BF25" s="21">
        <v>11.82</v>
      </c>
      <c r="BG25" s="21">
        <v>0.68</v>
      </c>
      <c r="BH25" s="21">
        <v>0.61</v>
      </c>
      <c r="BI25" s="467" t="s">
        <v>1580</v>
      </c>
      <c r="BJ25" s="21">
        <v>88.18</v>
      </c>
      <c r="BK25" s="21">
        <v>86.11</v>
      </c>
      <c r="BL25" s="21">
        <v>1.47</v>
      </c>
      <c r="BM25" s="21">
        <v>1.28</v>
      </c>
      <c r="BN25" s="21">
        <v>123.03</v>
      </c>
      <c r="BO25" s="21">
        <v>124.16</v>
      </c>
      <c r="BP25" s="21">
        <v>2.56</v>
      </c>
      <c r="BQ25" s="21">
        <v>2.59</v>
      </c>
      <c r="BR25" s="21">
        <v>21.53</v>
      </c>
      <c r="BS25" s="21">
        <v>22.28</v>
      </c>
      <c r="BT25" s="21">
        <v>79.099999999999994</v>
      </c>
      <c r="BU25" s="21">
        <v>81.819999999999993</v>
      </c>
      <c r="BV25" s="21">
        <v>125.28</v>
      </c>
      <c r="BW25" s="21">
        <v>128.19999999999999</v>
      </c>
    </row>
    <row r="26" spans="1:75" ht="11.85" customHeight="1">
      <c r="A26" s="636" t="s">
        <v>1809</v>
      </c>
      <c r="B26" s="537">
        <v>82.13</v>
      </c>
      <c r="C26" s="537">
        <v>71.099999999999994</v>
      </c>
      <c r="D26" s="537">
        <v>79.930000000000007</v>
      </c>
      <c r="E26" s="537">
        <v>77.77</v>
      </c>
      <c r="F26" s="537">
        <v>212.02</v>
      </c>
      <c r="G26" s="537">
        <v>206.27</v>
      </c>
      <c r="H26" s="537">
        <v>79.62</v>
      </c>
      <c r="I26" s="537">
        <v>73.900000000000006</v>
      </c>
      <c r="J26" s="537">
        <v>12.72</v>
      </c>
      <c r="K26" s="537">
        <v>12.59</v>
      </c>
      <c r="L26" s="537">
        <v>13.87</v>
      </c>
      <c r="M26" s="537">
        <v>13.57</v>
      </c>
      <c r="N26" s="537">
        <v>103.37</v>
      </c>
      <c r="O26" s="537">
        <v>101.19</v>
      </c>
      <c r="P26" s="636" t="s">
        <v>1809</v>
      </c>
      <c r="Q26" s="537">
        <v>10.31</v>
      </c>
      <c r="R26" s="537">
        <v>10.029999999999999</v>
      </c>
      <c r="S26" s="537">
        <v>1.46</v>
      </c>
      <c r="T26" s="537">
        <v>1.31</v>
      </c>
      <c r="U26" s="537">
        <v>0.01</v>
      </c>
      <c r="V26" s="537">
        <v>0.01</v>
      </c>
      <c r="W26" s="537">
        <v>0.01</v>
      </c>
      <c r="X26" s="537">
        <v>0.01</v>
      </c>
      <c r="Y26" s="537">
        <v>0.92</v>
      </c>
      <c r="Z26" s="537">
        <v>0.78</v>
      </c>
      <c r="AA26" s="537">
        <v>282.77999999999997</v>
      </c>
      <c r="AB26" s="537">
        <v>272.62</v>
      </c>
      <c r="AC26" s="537">
        <v>25.93</v>
      </c>
      <c r="AD26" s="537">
        <v>24.61</v>
      </c>
      <c r="AE26" s="636" t="s">
        <v>1809</v>
      </c>
      <c r="AF26" s="537">
        <v>12.45</v>
      </c>
      <c r="AG26" s="537">
        <v>12.11</v>
      </c>
      <c r="AH26" s="537">
        <v>0.91</v>
      </c>
      <c r="AI26" s="537">
        <v>0.81</v>
      </c>
      <c r="AJ26" s="537">
        <v>65.7</v>
      </c>
      <c r="AK26" s="537">
        <v>60.24</v>
      </c>
      <c r="AL26" s="537">
        <v>13.88</v>
      </c>
      <c r="AM26" s="537">
        <v>12.81</v>
      </c>
      <c r="AN26" s="537">
        <v>207.59</v>
      </c>
      <c r="AO26" s="537">
        <v>201.99</v>
      </c>
      <c r="AP26" s="537">
        <v>0.83</v>
      </c>
      <c r="AQ26" s="537">
        <v>0.78</v>
      </c>
      <c r="AR26" s="537">
        <v>1.93</v>
      </c>
      <c r="AS26" s="537">
        <v>1.8</v>
      </c>
      <c r="AT26" s="636" t="s">
        <v>1809</v>
      </c>
      <c r="AU26" s="537">
        <v>21.95</v>
      </c>
      <c r="AV26" s="537">
        <v>21.36</v>
      </c>
      <c r="AW26" s="537">
        <v>2.56</v>
      </c>
      <c r="AX26" s="537">
        <v>2.36</v>
      </c>
      <c r="AY26" s="537">
        <v>21.31</v>
      </c>
      <c r="AZ26" s="537">
        <v>20.74</v>
      </c>
      <c r="BA26" s="537">
        <v>7.0000000000000007E-2</v>
      </c>
      <c r="BB26" s="537">
        <v>7.0000000000000007E-2</v>
      </c>
      <c r="BC26" s="537">
        <v>64.540000000000006</v>
      </c>
      <c r="BD26" s="537">
        <v>61.36</v>
      </c>
      <c r="BE26" s="537">
        <v>12.12</v>
      </c>
      <c r="BF26" s="537">
        <v>11.6</v>
      </c>
      <c r="BG26" s="537">
        <v>0.62</v>
      </c>
      <c r="BH26" s="537">
        <v>0.6</v>
      </c>
      <c r="BI26" s="636" t="s">
        <v>1809</v>
      </c>
      <c r="BJ26" s="537">
        <v>84.91</v>
      </c>
      <c r="BK26" s="537">
        <v>82.32</v>
      </c>
      <c r="BL26" s="537">
        <v>1.1200000000000001</v>
      </c>
      <c r="BM26" s="537">
        <v>0.77</v>
      </c>
      <c r="BN26" s="537">
        <v>121.56</v>
      </c>
      <c r="BO26" s="537">
        <v>116.96</v>
      </c>
      <c r="BP26" s="537">
        <v>2.63</v>
      </c>
      <c r="BQ26" s="537">
        <v>2.5</v>
      </c>
      <c r="BR26" s="537">
        <v>21.76</v>
      </c>
      <c r="BS26" s="537">
        <v>21.17</v>
      </c>
      <c r="BT26" s="537">
        <v>79.930000000000007</v>
      </c>
      <c r="BU26" s="537">
        <v>77.77</v>
      </c>
      <c r="BV26" s="537">
        <v>125.45</v>
      </c>
      <c r="BW26" s="537">
        <v>118.24</v>
      </c>
    </row>
    <row r="27" spans="1:75" s="259" customFormat="1" ht="11.85" customHeight="1">
      <c r="A27" s="1350" t="s">
        <v>2226</v>
      </c>
      <c r="B27" s="638">
        <v>71.37</v>
      </c>
      <c r="C27" s="638">
        <v>73.17</v>
      </c>
      <c r="D27" s="638">
        <v>77.72</v>
      </c>
      <c r="E27" s="638">
        <v>77.63</v>
      </c>
      <c r="F27" s="638">
        <v>206.16</v>
      </c>
      <c r="G27" s="638">
        <v>205.92</v>
      </c>
      <c r="H27" s="638">
        <v>72.69</v>
      </c>
      <c r="I27" s="638">
        <v>72.81</v>
      </c>
      <c r="J27" s="638">
        <v>12.65</v>
      </c>
      <c r="K27" s="638">
        <v>12.62</v>
      </c>
      <c r="L27" s="638">
        <v>14.14</v>
      </c>
      <c r="M27" s="638">
        <v>14.21</v>
      </c>
      <c r="N27" s="638">
        <v>105.46</v>
      </c>
      <c r="O27" s="638">
        <v>105.96</v>
      </c>
      <c r="P27" s="1350" t="s">
        <v>2226</v>
      </c>
      <c r="Q27" s="638">
        <v>10.02</v>
      </c>
      <c r="R27" s="638">
        <v>10.02</v>
      </c>
      <c r="S27" s="638">
        <v>1.27</v>
      </c>
      <c r="T27" s="638">
        <v>1.29</v>
      </c>
      <c r="U27" s="638">
        <v>0.01</v>
      </c>
      <c r="V27" s="638">
        <v>0.01</v>
      </c>
      <c r="W27" s="638">
        <v>0</v>
      </c>
      <c r="X27" s="638">
        <v>0</v>
      </c>
      <c r="Y27" s="638">
        <v>0.77</v>
      </c>
      <c r="Z27" s="638">
        <v>0.77</v>
      </c>
      <c r="AA27" s="638">
        <v>274.81</v>
      </c>
      <c r="AB27" s="638">
        <v>275.48</v>
      </c>
      <c r="AC27" s="638">
        <v>23.95</v>
      </c>
      <c r="AD27" s="638">
        <v>24.19</v>
      </c>
      <c r="AE27" s="1350" t="s">
        <v>2226</v>
      </c>
      <c r="AF27" s="638">
        <v>12.11</v>
      </c>
      <c r="AG27" s="638">
        <v>12.09</v>
      </c>
      <c r="AH27" s="638">
        <v>0.79</v>
      </c>
      <c r="AI27" s="638">
        <v>0.81</v>
      </c>
      <c r="AJ27" s="638">
        <v>64.540000000000006</v>
      </c>
      <c r="AK27" s="638">
        <v>68.16</v>
      </c>
      <c r="AL27" s="638">
        <v>12.9</v>
      </c>
      <c r="AM27" s="638">
        <v>12.68</v>
      </c>
      <c r="AN27" s="638">
        <v>201.88</v>
      </c>
      <c r="AO27" s="638">
        <v>201.64</v>
      </c>
      <c r="AP27" s="638">
        <v>0.76</v>
      </c>
      <c r="AQ27" s="638">
        <v>0.79</v>
      </c>
      <c r="AR27" s="638">
        <v>1.79</v>
      </c>
      <c r="AS27" s="638">
        <v>1.78</v>
      </c>
      <c r="AT27" s="1350" t="s">
        <v>2226</v>
      </c>
      <c r="AU27" s="638">
        <v>21.35</v>
      </c>
      <c r="AV27" s="638">
        <v>21.32</v>
      </c>
      <c r="AW27" s="638">
        <v>2.2999999999999998</v>
      </c>
      <c r="AX27" s="638">
        <v>2.2999999999999998</v>
      </c>
      <c r="AY27" s="638">
        <v>20.72</v>
      </c>
      <c r="AZ27" s="638">
        <v>20.7</v>
      </c>
      <c r="BA27" s="638">
        <v>7.0000000000000007E-2</v>
      </c>
      <c r="BB27" s="638">
        <v>0.08</v>
      </c>
      <c r="BC27" s="638">
        <v>61.7</v>
      </c>
      <c r="BD27" s="638">
        <v>62.12</v>
      </c>
      <c r="BE27" s="638">
        <v>11.9</v>
      </c>
      <c r="BF27" s="638">
        <v>11.52</v>
      </c>
      <c r="BG27" s="638">
        <v>0.59</v>
      </c>
      <c r="BH27" s="638">
        <v>0.6</v>
      </c>
      <c r="BI27" s="1350" t="s">
        <v>2226</v>
      </c>
      <c r="BJ27" s="638">
        <v>85.99</v>
      </c>
      <c r="BK27" s="638">
        <v>87.15</v>
      </c>
      <c r="BL27" s="638">
        <v>0.57999999999999996</v>
      </c>
      <c r="BM27" s="638">
        <v>0.52</v>
      </c>
      <c r="BN27" s="638">
        <v>119.23</v>
      </c>
      <c r="BO27" s="638">
        <v>119.87</v>
      </c>
      <c r="BP27" s="638">
        <v>2.46</v>
      </c>
      <c r="BQ27" s="638">
        <v>2.39</v>
      </c>
      <c r="BR27" s="638">
        <v>21.16</v>
      </c>
      <c r="BS27" s="638">
        <v>21.14</v>
      </c>
      <c r="BT27" s="638">
        <v>77.72</v>
      </c>
      <c r="BU27" s="638">
        <v>77.63</v>
      </c>
      <c r="BV27" s="638">
        <v>126.4</v>
      </c>
      <c r="BW27" s="638">
        <v>132.24</v>
      </c>
    </row>
    <row r="28" spans="1:75" s="43" customFormat="1" ht="11.85" customHeight="1">
      <c r="A28" s="1057" t="s">
        <v>2376</v>
      </c>
      <c r="B28" s="1058">
        <v>64.968333333333348</v>
      </c>
      <c r="C28" s="1058">
        <f>C40</f>
        <v>59.81</v>
      </c>
      <c r="D28" s="1058">
        <v>77.67</v>
      </c>
      <c r="E28" s="1058">
        <f>E40</f>
        <v>77.81</v>
      </c>
      <c r="F28" s="1058">
        <v>206.03</v>
      </c>
      <c r="G28" s="1058">
        <f>G40</f>
        <v>206.35</v>
      </c>
      <c r="H28" s="1058">
        <v>66.412499999999994</v>
      </c>
      <c r="I28" s="1058">
        <f>I40</f>
        <v>62.78</v>
      </c>
      <c r="J28" s="1058">
        <v>12.65</v>
      </c>
      <c r="K28" s="1058">
        <f>K40</f>
        <v>12.73</v>
      </c>
      <c r="L28" s="1058">
        <v>12.54</v>
      </c>
      <c r="M28" s="1058">
        <f>M40</f>
        <v>11.72</v>
      </c>
      <c r="N28" s="1058">
        <v>93.386666666666656</v>
      </c>
      <c r="O28" s="1058">
        <f>O40</f>
        <v>87.43</v>
      </c>
      <c r="P28" s="1057" t="s">
        <v>2376</v>
      </c>
      <c r="Q28" s="1058">
        <v>10.02</v>
      </c>
      <c r="R28" s="1058">
        <f>R40</f>
        <v>10.039999999999999</v>
      </c>
      <c r="S28" s="1058">
        <v>1.25</v>
      </c>
      <c r="T28" s="1058">
        <f>T40</f>
        <v>1.22</v>
      </c>
      <c r="U28" s="1058">
        <v>0.01</v>
      </c>
      <c r="V28" s="1058">
        <f>V40</f>
        <v>0.01</v>
      </c>
      <c r="W28" s="1058">
        <v>0</v>
      </c>
      <c r="X28" s="1058">
        <f>X40</f>
        <v>0</v>
      </c>
      <c r="Y28" s="1058">
        <v>0.68</v>
      </c>
      <c r="Z28" s="1058">
        <f>Z40</f>
        <v>0.63</v>
      </c>
      <c r="AA28" s="1058">
        <v>265.05</v>
      </c>
      <c r="AB28" s="1058">
        <f>AB40</f>
        <v>257.42</v>
      </c>
      <c r="AC28" s="1058">
        <v>22.54</v>
      </c>
      <c r="AD28" s="1058">
        <f>AD40</f>
        <v>20.55</v>
      </c>
      <c r="AE28" s="1057" t="s">
        <v>2376</v>
      </c>
      <c r="AF28" s="1058">
        <v>0.08</v>
      </c>
      <c r="AG28" s="1058">
        <f>AG40</f>
        <v>7.0000000000000007E-2</v>
      </c>
      <c r="AH28" s="1058">
        <v>0.78</v>
      </c>
      <c r="AI28" s="1058">
        <f>AI40</f>
        <v>0.76</v>
      </c>
      <c r="AJ28" s="1058">
        <v>60.44</v>
      </c>
      <c r="AK28" s="1058">
        <f>AK40</f>
        <v>53.34</v>
      </c>
      <c r="AL28" s="1058">
        <v>10.96</v>
      </c>
      <c r="AM28" s="1058">
        <f>AM40</f>
        <v>9.9</v>
      </c>
      <c r="AN28" s="1058">
        <v>201.75</v>
      </c>
      <c r="AO28" s="1058">
        <f>AO40</f>
        <v>202.12</v>
      </c>
      <c r="AP28" s="1058">
        <v>0.77</v>
      </c>
      <c r="AQ28" s="1058">
        <f>AQ40</f>
        <v>0.76</v>
      </c>
      <c r="AR28" s="1058">
        <v>1.75</v>
      </c>
      <c r="AS28" s="1058">
        <f>AS40</f>
        <v>1.72</v>
      </c>
      <c r="AT28" s="1057" t="s">
        <v>2376</v>
      </c>
      <c r="AU28" s="1058">
        <v>21.33</v>
      </c>
      <c r="AV28" s="1058">
        <f>AV40</f>
        <v>21.37</v>
      </c>
      <c r="AW28" s="1058">
        <v>1.64</v>
      </c>
      <c r="AX28" s="1058">
        <f>AX40</f>
        <v>1.4</v>
      </c>
      <c r="AY28" s="1058">
        <v>20.71</v>
      </c>
      <c r="AZ28" s="1058">
        <f>AZ40</f>
        <v>20.74</v>
      </c>
      <c r="BA28" s="1058">
        <v>7.0000000000000007E-2</v>
      </c>
      <c r="BB28" s="1058">
        <f>BB40</f>
        <v>7.0000000000000007E-2</v>
      </c>
      <c r="BC28" s="1058">
        <v>59.31</v>
      </c>
      <c r="BD28" s="1058">
        <f>BD40</f>
        <v>57.8</v>
      </c>
      <c r="BE28" s="1058">
        <v>10.06</v>
      </c>
      <c r="BF28" s="1058">
        <f>BF40</f>
        <v>9.44</v>
      </c>
      <c r="BG28" s="1058">
        <v>0.59</v>
      </c>
      <c r="BH28" s="1058">
        <f>BH40</f>
        <v>0.57999999999999996</v>
      </c>
      <c r="BI28" s="1057" t="s">
        <v>2376</v>
      </c>
      <c r="BJ28" s="1058">
        <v>82.44</v>
      </c>
      <c r="BK28" s="1058">
        <f>BK40</f>
        <v>84.03</v>
      </c>
      <c r="BL28" s="1058">
        <v>0.43</v>
      </c>
      <c r="BM28" s="1058">
        <f>BM40</f>
        <v>0.36</v>
      </c>
      <c r="BN28" s="1058">
        <v>112.65</v>
      </c>
      <c r="BO28" s="1058">
        <f>BO40</f>
        <v>109.18</v>
      </c>
      <c r="BP28" s="1058">
        <v>2.38</v>
      </c>
      <c r="BQ28" s="1058">
        <f>BQ40</f>
        <v>2.2999999999999998</v>
      </c>
      <c r="BR28" s="1058">
        <v>21.15</v>
      </c>
      <c r="BS28" s="1058">
        <f>BS40</f>
        <v>21.18</v>
      </c>
      <c r="BT28" s="1058">
        <v>77.67</v>
      </c>
      <c r="BU28" s="1058">
        <f>BU40</f>
        <v>77.81</v>
      </c>
      <c r="BV28" s="1058">
        <v>122.41</v>
      </c>
      <c r="BW28" s="1058">
        <f>BW40</f>
        <v>122.42</v>
      </c>
    </row>
    <row r="29" spans="1:75" s="43" customFormat="1" ht="10.5" hidden="1" customHeight="1">
      <c r="A29" s="944" t="s">
        <v>1211</v>
      </c>
      <c r="B29" s="701">
        <v>72.89</v>
      </c>
      <c r="C29" s="701">
        <v>72.319999999999993</v>
      </c>
      <c r="D29" s="701">
        <v>77.59</v>
      </c>
      <c r="E29" s="701">
        <v>77.52</v>
      </c>
      <c r="F29" s="701">
        <v>205.81</v>
      </c>
      <c r="G29" s="701">
        <v>205.62</v>
      </c>
      <c r="H29" s="701">
        <v>72.34</v>
      </c>
      <c r="I29" s="701">
        <v>71.12</v>
      </c>
      <c r="J29" s="701">
        <v>12.6</v>
      </c>
      <c r="K29" s="701">
        <v>12.57</v>
      </c>
      <c r="L29" s="701">
        <v>14.1</v>
      </c>
      <c r="M29" s="701">
        <v>13.93</v>
      </c>
      <c r="N29" s="701">
        <v>105.13</v>
      </c>
      <c r="O29" s="701">
        <v>103.83</v>
      </c>
      <c r="P29" s="944" t="s">
        <v>1211</v>
      </c>
      <c r="Q29" s="701">
        <v>10.01</v>
      </c>
      <c r="R29" s="701">
        <v>10</v>
      </c>
      <c r="S29" s="701">
        <v>1.29</v>
      </c>
      <c r="T29" s="701">
        <v>1.29</v>
      </c>
      <c r="U29" s="701">
        <v>0.01</v>
      </c>
      <c r="V29" s="701">
        <v>0.01</v>
      </c>
      <c r="W29" s="701">
        <v>0</v>
      </c>
      <c r="X29" s="701">
        <v>0</v>
      </c>
      <c r="Y29" s="701">
        <v>0.76</v>
      </c>
      <c r="Z29" s="701">
        <v>0.75</v>
      </c>
      <c r="AA29" s="701">
        <v>274.82</v>
      </c>
      <c r="AB29" s="701">
        <v>273.63</v>
      </c>
      <c r="AC29" s="701">
        <v>24.37</v>
      </c>
      <c r="AD29" s="701">
        <v>24.3</v>
      </c>
      <c r="AE29" s="944" t="s">
        <v>1211</v>
      </c>
      <c r="AF29" s="701">
        <v>0.08</v>
      </c>
      <c r="AG29" s="701">
        <v>0.08</v>
      </c>
      <c r="AH29" s="701">
        <v>0.81</v>
      </c>
      <c r="AI29" s="701">
        <v>0.81</v>
      </c>
      <c r="AJ29" s="701">
        <v>67.53</v>
      </c>
      <c r="AK29" s="701">
        <v>65.78</v>
      </c>
      <c r="AL29" s="701">
        <v>12.53</v>
      </c>
      <c r="AM29" s="701">
        <v>12.39</v>
      </c>
      <c r="AN29" s="701">
        <v>201.53</v>
      </c>
      <c r="AO29" s="701">
        <v>201.35</v>
      </c>
      <c r="AP29" s="701">
        <v>0.79</v>
      </c>
      <c r="AQ29" s="701">
        <v>0.78</v>
      </c>
      <c r="AR29" s="701">
        <v>1.79</v>
      </c>
      <c r="AS29" s="701">
        <v>1.78</v>
      </c>
      <c r="AT29" s="944" t="s">
        <v>1211</v>
      </c>
      <c r="AU29" s="701">
        <v>21.31</v>
      </c>
      <c r="AV29" s="701">
        <v>21.29</v>
      </c>
      <c r="AW29" s="701">
        <v>2.2400000000000002</v>
      </c>
      <c r="AX29" s="701">
        <v>2.1800000000000002</v>
      </c>
      <c r="AY29" s="701">
        <v>20.69</v>
      </c>
      <c r="AZ29" s="701">
        <v>20.67</v>
      </c>
      <c r="BA29" s="701">
        <v>0.08</v>
      </c>
      <c r="BB29" s="701">
        <v>0.08</v>
      </c>
      <c r="BC29" s="701">
        <v>62.44</v>
      </c>
      <c r="BD29" s="701">
        <v>62.29</v>
      </c>
      <c r="BE29" s="701">
        <v>11.39</v>
      </c>
      <c r="BF29" s="701">
        <v>11.26</v>
      </c>
      <c r="BG29" s="701">
        <v>0.6</v>
      </c>
      <c r="BH29" s="701">
        <v>0.6</v>
      </c>
      <c r="BI29" s="944" t="s">
        <v>1211</v>
      </c>
      <c r="BJ29" s="701">
        <v>86.52</v>
      </c>
      <c r="BK29" s="701">
        <v>85.29</v>
      </c>
      <c r="BL29" s="701">
        <v>0.52</v>
      </c>
      <c r="BM29" s="701">
        <v>0.52</v>
      </c>
      <c r="BN29" s="701">
        <v>119.67</v>
      </c>
      <c r="BO29" s="701">
        <v>118.86</v>
      </c>
      <c r="BP29" s="701">
        <v>2.42</v>
      </c>
      <c r="BQ29" s="701">
        <v>2.42</v>
      </c>
      <c r="BR29" s="701">
        <v>21.12</v>
      </c>
      <c r="BS29" s="701">
        <v>21.11</v>
      </c>
      <c r="BT29" s="701">
        <v>77.59</v>
      </c>
      <c r="BU29" s="701">
        <v>77.52</v>
      </c>
      <c r="BV29" s="701">
        <v>132.56</v>
      </c>
      <c r="BW29" s="701">
        <v>131.13999999999999</v>
      </c>
    </row>
    <row r="30" spans="1:75" s="43" customFormat="1" ht="10.5" hidden="1" customHeight="1">
      <c r="A30" s="935" t="s">
        <v>1212</v>
      </c>
      <c r="B30" s="733">
        <v>72.099999999999994</v>
      </c>
      <c r="C30" s="733">
        <v>72.290000000000006</v>
      </c>
      <c r="D30" s="733">
        <v>77.459999999999994</v>
      </c>
      <c r="E30" s="733">
        <v>77.41</v>
      </c>
      <c r="F30" s="733">
        <v>205.46</v>
      </c>
      <c r="G30" s="733">
        <v>205.32</v>
      </c>
      <c r="H30" s="733">
        <v>70.92</v>
      </c>
      <c r="I30" s="733">
        <v>71.19</v>
      </c>
      <c r="J30" s="733">
        <v>12.57</v>
      </c>
      <c r="K30" s="733">
        <v>12.56</v>
      </c>
      <c r="L30" s="733">
        <v>13.85</v>
      </c>
      <c r="M30" s="733">
        <v>13.66</v>
      </c>
      <c r="N30" s="733">
        <v>103.22</v>
      </c>
      <c r="O30" s="733">
        <v>101.71</v>
      </c>
      <c r="P30" s="935" t="s">
        <v>1212</v>
      </c>
      <c r="Q30" s="733">
        <v>9.99</v>
      </c>
      <c r="R30" s="733">
        <v>9.99</v>
      </c>
      <c r="S30" s="733">
        <v>1.27</v>
      </c>
      <c r="T30" s="733">
        <v>1.28</v>
      </c>
      <c r="U30" s="733">
        <v>0.01</v>
      </c>
      <c r="V30" s="733">
        <v>0.01</v>
      </c>
      <c r="W30" s="733">
        <v>0</v>
      </c>
      <c r="X30" s="733">
        <v>0</v>
      </c>
      <c r="Y30" s="733">
        <v>0.75</v>
      </c>
      <c r="Z30" s="733">
        <v>0.74</v>
      </c>
      <c r="AA30" s="733">
        <v>273.04000000000002</v>
      </c>
      <c r="AB30" s="733">
        <v>271.83</v>
      </c>
      <c r="AC30" s="733">
        <v>24.37</v>
      </c>
      <c r="AD30" s="733">
        <v>24.56</v>
      </c>
      <c r="AE30" s="935" t="s">
        <v>1212</v>
      </c>
      <c r="AF30" s="733">
        <v>0.08</v>
      </c>
      <c r="AG30" s="733">
        <v>0.08</v>
      </c>
      <c r="AH30" s="733">
        <v>0.8</v>
      </c>
      <c r="AI30" s="733">
        <v>0.8</v>
      </c>
      <c r="AJ30" s="733">
        <v>65.39</v>
      </c>
      <c r="AK30" s="733">
        <v>64.739999999999995</v>
      </c>
      <c r="AL30" s="733">
        <v>12.49</v>
      </c>
      <c r="AM30" s="733">
        <v>12.49</v>
      </c>
      <c r="AN30" s="733">
        <v>201.19</v>
      </c>
      <c r="AO30" s="733">
        <v>201.05</v>
      </c>
      <c r="AP30" s="733">
        <v>0.77</v>
      </c>
      <c r="AQ30" s="733">
        <v>0.76</v>
      </c>
      <c r="AR30" s="733">
        <v>1.77</v>
      </c>
      <c r="AS30" s="733">
        <v>1.77</v>
      </c>
      <c r="AT30" s="935" t="s">
        <v>1212</v>
      </c>
      <c r="AU30" s="733">
        <v>21.27</v>
      </c>
      <c r="AV30" s="733">
        <v>21.26</v>
      </c>
      <c r="AW30" s="733">
        <v>2.15</v>
      </c>
      <c r="AX30" s="733">
        <v>2.14</v>
      </c>
      <c r="AY30" s="733">
        <v>20.65</v>
      </c>
      <c r="AZ30" s="733">
        <v>20.64</v>
      </c>
      <c r="BA30" s="733">
        <v>0.08</v>
      </c>
      <c r="BB30" s="733">
        <v>0.08</v>
      </c>
      <c r="BC30" s="733">
        <v>62.04</v>
      </c>
      <c r="BD30" s="733">
        <v>61.97</v>
      </c>
      <c r="BE30" s="733">
        <v>11.23</v>
      </c>
      <c r="BF30" s="733">
        <v>11.07</v>
      </c>
      <c r="BG30" s="733">
        <v>0.59</v>
      </c>
      <c r="BH30" s="733">
        <v>0.59</v>
      </c>
      <c r="BI30" s="935" t="s">
        <v>1212</v>
      </c>
      <c r="BJ30" s="733">
        <v>85.17</v>
      </c>
      <c r="BK30" s="733">
        <v>84.33</v>
      </c>
      <c r="BL30" s="733">
        <v>0.51</v>
      </c>
      <c r="BM30" s="733">
        <v>0.5</v>
      </c>
      <c r="BN30" s="733">
        <v>118.35</v>
      </c>
      <c r="BO30" s="733">
        <v>117.53</v>
      </c>
      <c r="BP30" s="733">
        <v>2.4300000000000002</v>
      </c>
      <c r="BQ30" s="733">
        <v>2.42</v>
      </c>
      <c r="BR30" s="733">
        <v>21.09</v>
      </c>
      <c r="BS30" s="733">
        <v>21.07</v>
      </c>
      <c r="BT30" s="733">
        <v>77.459999999999994</v>
      </c>
      <c r="BU30" s="733">
        <v>77.41</v>
      </c>
      <c r="BV30" s="733">
        <v>129.43</v>
      </c>
      <c r="BW30" s="733">
        <v>128.53</v>
      </c>
    </row>
    <row r="31" spans="1:75" s="43" customFormat="1" ht="10.5" hidden="1" customHeight="1">
      <c r="A31" s="944" t="s">
        <v>1206</v>
      </c>
      <c r="B31" s="701">
        <v>70.19</v>
      </c>
      <c r="C31" s="701">
        <v>67.47</v>
      </c>
      <c r="D31" s="701">
        <v>77.400000000000006</v>
      </c>
      <c r="E31" s="701">
        <v>77.400000000000006</v>
      </c>
      <c r="F31" s="701">
        <v>205.31</v>
      </c>
      <c r="G31" s="701">
        <v>205.31</v>
      </c>
      <c r="H31" s="701">
        <v>70.39</v>
      </c>
      <c r="I31" s="701">
        <v>69.400000000000006</v>
      </c>
      <c r="J31" s="701">
        <v>12.58</v>
      </c>
      <c r="K31" s="701">
        <v>12.58</v>
      </c>
      <c r="L31" s="701">
        <v>13.42</v>
      </c>
      <c r="M31" s="701">
        <v>13.2</v>
      </c>
      <c r="N31" s="701">
        <v>99.91</v>
      </c>
      <c r="O31" s="701">
        <v>98.21</v>
      </c>
      <c r="P31" s="944" t="s">
        <v>1206</v>
      </c>
      <c r="Q31" s="701">
        <v>9.98</v>
      </c>
      <c r="R31" s="701">
        <v>9.9600000000000009</v>
      </c>
      <c r="S31" s="701">
        <v>1.27</v>
      </c>
      <c r="T31" s="701">
        <v>1.26</v>
      </c>
      <c r="U31" s="701">
        <v>0.01</v>
      </c>
      <c r="V31" s="701">
        <v>0.01</v>
      </c>
      <c r="W31" s="701">
        <v>0</v>
      </c>
      <c r="X31" s="701">
        <v>0</v>
      </c>
      <c r="Y31" s="701">
        <v>0.72</v>
      </c>
      <c r="Z31" s="701">
        <v>0.71</v>
      </c>
      <c r="AA31" s="701">
        <v>270.02</v>
      </c>
      <c r="AB31" s="701">
        <v>268.7</v>
      </c>
      <c r="AC31" s="701">
        <v>24.08</v>
      </c>
      <c r="AD31" s="701">
        <v>23.66</v>
      </c>
      <c r="AE31" s="944" t="s">
        <v>1206</v>
      </c>
      <c r="AF31" s="701">
        <v>0.08</v>
      </c>
      <c r="AG31" s="701">
        <v>0.08</v>
      </c>
      <c r="AH31" s="701">
        <v>0.8</v>
      </c>
      <c r="AI31" s="701">
        <v>0.79</v>
      </c>
      <c r="AJ31" s="701">
        <v>63.15</v>
      </c>
      <c r="AK31" s="701">
        <v>60.07</v>
      </c>
      <c r="AL31" s="701">
        <v>12.21</v>
      </c>
      <c r="AM31" s="701">
        <v>12.01</v>
      </c>
      <c r="AN31" s="701">
        <v>201.04</v>
      </c>
      <c r="AO31" s="701">
        <v>201.04</v>
      </c>
      <c r="AP31" s="701">
        <v>0.76</v>
      </c>
      <c r="AQ31" s="701">
        <v>0.75</v>
      </c>
      <c r="AR31" s="701">
        <v>1.75</v>
      </c>
      <c r="AS31" s="701">
        <v>1.73</v>
      </c>
      <c r="AT31" s="944" t="s">
        <v>1206</v>
      </c>
      <c r="AU31" s="701">
        <v>21.26</v>
      </c>
      <c r="AV31" s="701">
        <v>21.25</v>
      </c>
      <c r="AW31" s="701">
        <v>2.0499999999999998</v>
      </c>
      <c r="AX31" s="701">
        <v>1.96</v>
      </c>
      <c r="AY31" s="701">
        <v>20.64</v>
      </c>
      <c r="AZ31" s="701">
        <v>20.63</v>
      </c>
      <c r="BA31" s="701">
        <v>7.0000000000000007E-2</v>
      </c>
      <c r="BB31" s="701">
        <v>7.0000000000000007E-2</v>
      </c>
      <c r="BC31" s="701">
        <v>61.3</v>
      </c>
      <c r="BD31" s="701">
        <v>60.69</v>
      </c>
      <c r="BE31" s="701">
        <v>10.86</v>
      </c>
      <c r="BF31" s="701">
        <v>10.7</v>
      </c>
      <c r="BG31" s="701">
        <v>0.59</v>
      </c>
      <c r="BH31" s="701">
        <v>0.59</v>
      </c>
      <c r="BI31" s="944" t="s">
        <v>1206</v>
      </c>
      <c r="BJ31" s="701">
        <v>82.73</v>
      </c>
      <c r="BK31" s="701">
        <v>81.37</v>
      </c>
      <c r="BL31" s="701">
        <v>0.49</v>
      </c>
      <c r="BM31" s="701">
        <v>0.48</v>
      </c>
      <c r="BN31" s="701">
        <v>116.18</v>
      </c>
      <c r="BO31" s="701">
        <v>115.13</v>
      </c>
      <c r="BP31" s="701">
        <v>2.4</v>
      </c>
      <c r="BQ31" s="701">
        <v>2.39</v>
      </c>
      <c r="BR31" s="701">
        <v>21.07</v>
      </c>
      <c r="BS31" s="701">
        <v>21.07</v>
      </c>
      <c r="BT31" s="701">
        <v>77.400000000000006</v>
      </c>
      <c r="BU31" s="701">
        <v>77.400000000000006</v>
      </c>
      <c r="BV31" s="701">
        <v>126.29</v>
      </c>
      <c r="BW31" s="701">
        <v>125.72</v>
      </c>
    </row>
    <row r="32" spans="1:75" s="43" customFormat="1" ht="11.85" hidden="1" customHeight="1">
      <c r="A32" s="935" t="s">
        <v>1213</v>
      </c>
      <c r="B32" s="733">
        <v>67.91</v>
      </c>
      <c r="C32" s="733">
        <v>68.36</v>
      </c>
      <c r="D32" s="733">
        <v>77.400000000000006</v>
      </c>
      <c r="E32" s="733">
        <v>77.41</v>
      </c>
      <c r="F32" s="733">
        <v>205.31</v>
      </c>
      <c r="G32" s="733">
        <v>205.33</v>
      </c>
      <c r="H32" s="733">
        <v>69.040000000000006</v>
      </c>
      <c r="I32" s="733">
        <v>69.14</v>
      </c>
      <c r="J32" s="733">
        <v>12.59</v>
      </c>
      <c r="K32" s="733">
        <v>12.59</v>
      </c>
      <c r="L32" s="733">
        <v>13.19</v>
      </c>
      <c r="M32" s="733">
        <v>13.11</v>
      </c>
      <c r="N32" s="733">
        <v>98.18</v>
      </c>
      <c r="O32" s="733">
        <v>97.61</v>
      </c>
      <c r="P32" s="935" t="s">
        <v>1213</v>
      </c>
      <c r="Q32" s="733">
        <v>9.98</v>
      </c>
      <c r="R32" s="733">
        <v>9.98</v>
      </c>
      <c r="S32" s="733">
        <v>1.26</v>
      </c>
      <c r="T32" s="733">
        <v>1.26</v>
      </c>
      <c r="U32" s="733">
        <v>0.01</v>
      </c>
      <c r="V32" s="733">
        <v>0.01</v>
      </c>
      <c r="W32" s="733">
        <v>0</v>
      </c>
      <c r="X32" s="733">
        <v>0</v>
      </c>
      <c r="Y32" s="733">
        <v>0.72</v>
      </c>
      <c r="Z32" s="733">
        <v>0.71</v>
      </c>
      <c r="AA32" s="733">
        <v>268.02999999999997</v>
      </c>
      <c r="AB32" s="733">
        <v>267.35000000000002</v>
      </c>
      <c r="AC32" s="733">
        <v>23.69</v>
      </c>
      <c r="AD32" s="733">
        <v>23.58</v>
      </c>
      <c r="AE32" s="935" t="s">
        <v>1213</v>
      </c>
      <c r="AF32" s="733">
        <v>0.08</v>
      </c>
      <c r="AG32" s="733">
        <v>0.08</v>
      </c>
      <c r="AH32" s="733">
        <v>0.79</v>
      </c>
      <c r="AI32" s="733">
        <v>0.79</v>
      </c>
      <c r="AJ32" s="733">
        <v>60.94</v>
      </c>
      <c r="AK32" s="733">
        <v>60.71</v>
      </c>
      <c r="AL32" s="733">
        <v>11.84</v>
      </c>
      <c r="AM32" s="733">
        <v>11.55</v>
      </c>
      <c r="AN32" s="733">
        <v>201.05</v>
      </c>
      <c r="AO32" s="733">
        <v>201.06</v>
      </c>
      <c r="AP32" s="733">
        <v>0.75</v>
      </c>
      <c r="AQ32" s="733">
        <v>0.75</v>
      </c>
      <c r="AR32" s="733">
        <v>1.73</v>
      </c>
      <c r="AS32" s="733">
        <v>1.73</v>
      </c>
      <c r="AT32" s="935" t="s">
        <v>1213</v>
      </c>
      <c r="AU32" s="733">
        <v>21.26</v>
      </c>
      <c r="AV32" s="733">
        <v>21.26</v>
      </c>
      <c r="AW32" s="733">
        <v>1.9</v>
      </c>
      <c r="AX32" s="733">
        <v>1.79</v>
      </c>
      <c r="AY32" s="733">
        <v>20.63</v>
      </c>
      <c r="AZ32" s="733">
        <v>20.63</v>
      </c>
      <c r="BA32" s="733">
        <v>7.0000000000000007E-2</v>
      </c>
      <c r="BB32" s="733">
        <v>7.0000000000000007E-2</v>
      </c>
      <c r="BC32" s="733">
        <v>60.74</v>
      </c>
      <c r="BD32" s="733">
        <v>60.59</v>
      </c>
      <c r="BE32" s="733">
        <v>10.71</v>
      </c>
      <c r="BF32" s="733">
        <v>10.54</v>
      </c>
      <c r="BG32" s="733">
        <v>0.59</v>
      </c>
      <c r="BH32" s="733">
        <v>0.59</v>
      </c>
      <c r="BI32" s="935" t="s">
        <v>1213</v>
      </c>
      <c r="BJ32" s="733">
        <v>81.260000000000005</v>
      </c>
      <c r="BK32" s="733">
        <v>80.959999999999994</v>
      </c>
      <c r="BL32" s="733">
        <v>0.48</v>
      </c>
      <c r="BM32" s="733">
        <v>0.47</v>
      </c>
      <c r="BN32" s="733">
        <v>115.07</v>
      </c>
      <c r="BO32" s="733">
        <v>114.63</v>
      </c>
      <c r="BP32" s="733">
        <v>2.39</v>
      </c>
      <c r="BQ32" s="733">
        <v>2.38</v>
      </c>
      <c r="BR32" s="733">
        <v>21.07</v>
      </c>
      <c r="BS32" s="733">
        <v>21.08</v>
      </c>
      <c r="BT32" s="733">
        <v>77.400000000000006</v>
      </c>
      <c r="BU32" s="733">
        <v>77.41</v>
      </c>
      <c r="BV32" s="733">
        <v>124.51</v>
      </c>
      <c r="BW32" s="733">
        <v>123.86</v>
      </c>
    </row>
    <row r="33" spans="1:75" s="43" customFormat="1" ht="10.5" hidden="1" customHeight="1">
      <c r="A33" s="944" t="s">
        <v>1214</v>
      </c>
      <c r="B33" s="701">
        <v>67.12</v>
      </c>
      <c r="C33" s="701">
        <v>66.099999999999994</v>
      </c>
      <c r="D33" s="701">
        <v>77.510000000000005</v>
      </c>
      <c r="E33" s="701">
        <v>77.7</v>
      </c>
      <c r="F33" s="701">
        <v>205.61</v>
      </c>
      <c r="G33" s="701">
        <v>206.09</v>
      </c>
      <c r="H33" s="701">
        <v>68.48</v>
      </c>
      <c r="I33" s="701">
        <v>68.02</v>
      </c>
      <c r="J33" s="701">
        <v>12.62</v>
      </c>
      <c r="K33" s="701">
        <v>12.67</v>
      </c>
      <c r="L33" s="701">
        <v>13</v>
      </c>
      <c r="M33" s="701">
        <v>12.99</v>
      </c>
      <c r="N33" s="701">
        <v>96.72</v>
      </c>
      <c r="O33" s="701">
        <v>96.7</v>
      </c>
      <c r="P33" s="944" t="s">
        <v>1214</v>
      </c>
      <c r="Q33" s="701">
        <v>10</v>
      </c>
      <c r="R33" s="701">
        <v>10.02</v>
      </c>
      <c r="S33" s="701">
        <v>1.26</v>
      </c>
      <c r="T33" s="701">
        <v>1.25</v>
      </c>
      <c r="U33" s="701">
        <v>0.01</v>
      </c>
      <c r="V33" s="701">
        <v>0.01</v>
      </c>
      <c r="W33" s="701">
        <v>0</v>
      </c>
      <c r="X33" s="701">
        <v>0</v>
      </c>
      <c r="Y33" s="701">
        <v>0.67</v>
      </c>
      <c r="Z33" s="701">
        <v>0.65</v>
      </c>
      <c r="AA33" s="701">
        <v>266.37</v>
      </c>
      <c r="AB33" s="701">
        <v>266.54000000000002</v>
      </c>
      <c r="AC33" s="701">
        <v>23.18</v>
      </c>
      <c r="AD33" s="701">
        <v>22.97</v>
      </c>
      <c r="AE33" s="944" t="s">
        <v>1214</v>
      </c>
      <c r="AF33" s="701">
        <v>0.08</v>
      </c>
      <c r="AG33" s="701">
        <v>0.08</v>
      </c>
      <c r="AH33" s="701">
        <v>0.79</v>
      </c>
      <c r="AI33" s="701">
        <v>0.78</v>
      </c>
      <c r="AJ33" s="701">
        <v>60.69</v>
      </c>
      <c r="AK33" s="701">
        <v>60.9</v>
      </c>
      <c r="AL33" s="701">
        <v>11.39</v>
      </c>
      <c r="AM33" s="701">
        <v>11.03</v>
      </c>
      <c r="AN33" s="701">
        <v>201.34</v>
      </c>
      <c r="AO33" s="701">
        <v>201.81</v>
      </c>
      <c r="AP33" s="701">
        <v>0.76</v>
      </c>
      <c r="AQ33" s="701">
        <v>0.76</v>
      </c>
      <c r="AR33" s="701">
        <v>1.72</v>
      </c>
      <c r="AS33" s="701">
        <v>1.73</v>
      </c>
      <c r="AT33" s="944" t="s">
        <v>1214</v>
      </c>
      <c r="AU33" s="701">
        <v>21.29</v>
      </c>
      <c r="AV33" s="701">
        <v>21.34</v>
      </c>
      <c r="AW33" s="701">
        <v>1.69</v>
      </c>
      <c r="AX33" s="701">
        <v>1.64</v>
      </c>
      <c r="AY33" s="701">
        <v>20.66</v>
      </c>
      <c r="AZ33" s="701">
        <v>20.7</v>
      </c>
      <c r="BA33" s="701">
        <v>7.0000000000000007E-2</v>
      </c>
      <c r="BB33" s="701">
        <v>7.0000000000000007E-2</v>
      </c>
      <c r="BC33" s="701">
        <v>59.86</v>
      </c>
      <c r="BD33" s="701">
        <v>59.61</v>
      </c>
      <c r="BE33" s="701">
        <v>10.46</v>
      </c>
      <c r="BF33" s="701">
        <v>10.42</v>
      </c>
      <c r="BG33" s="701">
        <v>0.59</v>
      </c>
      <c r="BH33" s="701">
        <v>0.59</v>
      </c>
      <c r="BI33" s="944" t="s">
        <v>1214</v>
      </c>
      <c r="BJ33" s="701">
        <v>80.41</v>
      </c>
      <c r="BK33" s="701">
        <v>80.430000000000007</v>
      </c>
      <c r="BL33" s="701">
        <v>0.46</v>
      </c>
      <c r="BM33" s="701">
        <v>0.46</v>
      </c>
      <c r="BN33" s="701">
        <v>113.73</v>
      </c>
      <c r="BO33" s="701">
        <v>113.77</v>
      </c>
      <c r="BP33" s="701">
        <v>2.36</v>
      </c>
      <c r="BQ33" s="701">
        <v>2.36</v>
      </c>
      <c r="BR33" s="701">
        <v>21.1</v>
      </c>
      <c r="BS33" s="701">
        <v>21.15</v>
      </c>
      <c r="BT33" s="701">
        <v>77.510000000000005</v>
      </c>
      <c r="BU33" s="701">
        <v>77.7</v>
      </c>
      <c r="BV33" s="701">
        <v>122.38</v>
      </c>
      <c r="BW33" s="701">
        <v>121.52</v>
      </c>
    </row>
    <row r="34" spans="1:75" s="43" customFormat="1" ht="9.75" hidden="1" customHeight="1">
      <c r="A34" s="935" t="s">
        <v>1207</v>
      </c>
      <c r="B34" s="733">
        <v>64.180000000000007</v>
      </c>
      <c r="C34" s="733">
        <v>63.8</v>
      </c>
      <c r="D34" s="733">
        <v>77.86</v>
      </c>
      <c r="E34" s="733">
        <v>77.95</v>
      </c>
      <c r="F34" s="733">
        <v>206.51</v>
      </c>
      <c r="G34" s="733">
        <v>206.73</v>
      </c>
      <c r="H34" s="733">
        <v>67.47</v>
      </c>
      <c r="I34" s="733">
        <v>67.17</v>
      </c>
      <c r="J34" s="733">
        <v>12.71</v>
      </c>
      <c r="K34" s="733">
        <v>12.74</v>
      </c>
      <c r="L34" s="733">
        <v>12.89</v>
      </c>
      <c r="M34" s="733">
        <v>12.72</v>
      </c>
      <c r="N34" s="733">
        <v>95.89</v>
      </c>
      <c r="O34" s="733">
        <v>94.76</v>
      </c>
      <c r="P34" s="935" t="s">
        <v>1207</v>
      </c>
      <c r="Q34" s="733">
        <v>10.039999999999999</v>
      </c>
      <c r="R34" s="733">
        <v>10.050000000000001</v>
      </c>
      <c r="S34" s="733">
        <v>1.24</v>
      </c>
      <c r="T34" s="733">
        <v>1.23</v>
      </c>
      <c r="U34" s="733">
        <v>0.01</v>
      </c>
      <c r="V34" s="733">
        <v>0.01</v>
      </c>
      <c r="W34" s="733">
        <v>0</v>
      </c>
      <c r="X34" s="733">
        <v>0</v>
      </c>
      <c r="Y34" s="733">
        <v>0.65</v>
      </c>
      <c r="Z34" s="733">
        <v>0.65</v>
      </c>
      <c r="AA34" s="733">
        <v>266.48</v>
      </c>
      <c r="AB34" s="733">
        <v>266.20999999999998</v>
      </c>
      <c r="AC34" s="733">
        <v>22.37</v>
      </c>
      <c r="AD34" s="733">
        <v>22.3</v>
      </c>
      <c r="AE34" s="935" t="s">
        <v>1207</v>
      </c>
      <c r="AF34" s="733">
        <v>0.08</v>
      </c>
      <c r="AG34" s="733">
        <v>0.08</v>
      </c>
      <c r="AH34" s="733">
        <v>0.78</v>
      </c>
      <c r="AI34" s="733">
        <v>0.77</v>
      </c>
      <c r="AJ34" s="733">
        <v>60.42</v>
      </c>
      <c r="AK34" s="733">
        <v>61.01</v>
      </c>
      <c r="AL34" s="733">
        <v>10.68</v>
      </c>
      <c r="AM34" s="733">
        <v>10.51</v>
      </c>
      <c r="AN34" s="733">
        <v>202.22</v>
      </c>
      <c r="AO34" s="733">
        <v>202.43</v>
      </c>
      <c r="AP34" s="733">
        <v>0.77</v>
      </c>
      <c r="AQ34" s="733">
        <v>0.77</v>
      </c>
      <c r="AR34" s="733">
        <v>1.74</v>
      </c>
      <c r="AS34" s="733">
        <v>1.74</v>
      </c>
      <c r="AT34" s="935" t="s">
        <v>1207</v>
      </c>
      <c r="AU34" s="733">
        <v>21.38</v>
      </c>
      <c r="AV34" s="733">
        <v>21.4</v>
      </c>
      <c r="AW34" s="733">
        <v>1.39</v>
      </c>
      <c r="AX34" s="733">
        <v>1.32</v>
      </c>
      <c r="AY34" s="733">
        <v>20.74</v>
      </c>
      <c r="AZ34" s="733">
        <v>20.77</v>
      </c>
      <c r="BA34" s="733">
        <v>7.0000000000000007E-2</v>
      </c>
      <c r="BB34" s="733">
        <v>7.0000000000000007E-2</v>
      </c>
      <c r="BC34" s="733">
        <v>59.16</v>
      </c>
      <c r="BD34" s="733">
        <v>58.97</v>
      </c>
      <c r="BE34" s="733">
        <v>10.19</v>
      </c>
      <c r="BF34" s="733">
        <v>10.07</v>
      </c>
      <c r="BG34" s="733">
        <v>0.59</v>
      </c>
      <c r="BH34" s="733">
        <v>0.59</v>
      </c>
      <c r="BI34" s="935" t="s">
        <v>1207</v>
      </c>
      <c r="BJ34" s="733">
        <v>79.709999999999994</v>
      </c>
      <c r="BK34" s="733">
        <v>78.819999999999993</v>
      </c>
      <c r="BL34" s="733">
        <v>0.44</v>
      </c>
      <c r="BM34" s="733">
        <v>0.43</v>
      </c>
      <c r="BN34" s="733">
        <v>113.41</v>
      </c>
      <c r="BO34" s="733">
        <v>112.9</v>
      </c>
      <c r="BP34" s="733">
        <v>2.37</v>
      </c>
      <c r="BQ34" s="733">
        <v>2.37</v>
      </c>
      <c r="BR34" s="733">
        <v>21.2</v>
      </c>
      <c r="BS34" s="733">
        <v>21.22</v>
      </c>
      <c r="BT34" s="733">
        <v>77.86</v>
      </c>
      <c r="BU34" s="733">
        <v>77.95</v>
      </c>
      <c r="BV34" s="733">
        <v>121.68</v>
      </c>
      <c r="BW34" s="733">
        <v>121.32</v>
      </c>
    </row>
    <row r="35" spans="1:75" s="43" customFormat="1" ht="11.85" hidden="1" customHeight="1">
      <c r="A35" s="944" t="s">
        <v>1215</v>
      </c>
      <c r="B35" s="701">
        <v>62.89</v>
      </c>
      <c r="C35" s="701">
        <v>60.57</v>
      </c>
      <c r="D35" s="701">
        <v>77.87</v>
      </c>
      <c r="E35" s="701">
        <v>77.8</v>
      </c>
      <c r="F35" s="701">
        <v>206.56</v>
      </c>
      <c r="G35" s="701">
        <v>206.37</v>
      </c>
      <c r="H35" s="701">
        <v>64.56</v>
      </c>
      <c r="I35" s="701">
        <v>61.24</v>
      </c>
      <c r="J35" s="701">
        <v>12.71</v>
      </c>
      <c r="K35" s="701">
        <v>12.68</v>
      </c>
      <c r="L35" s="701">
        <v>12.19</v>
      </c>
      <c r="M35" s="701">
        <v>11.81</v>
      </c>
      <c r="N35" s="701">
        <v>90.71</v>
      </c>
      <c r="O35" s="701">
        <v>87.84</v>
      </c>
      <c r="P35" s="944" t="s">
        <v>1215</v>
      </c>
      <c r="Q35" s="701">
        <v>10.039999999999999</v>
      </c>
      <c r="R35" s="701">
        <v>10.039999999999999</v>
      </c>
      <c r="S35" s="701">
        <v>1.25</v>
      </c>
      <c r="T35" s="701">
        <v>1.25</v>
      </c>
      <c r="U35" s="701">
        <v>0.01</v>
      </c>
      <c r="V35" s="701">
        <v>0.01</v>
      </c>
      <c r="W35" s="701">
        <v>0</v>
      </c>
      <c r="X35" s="701">
        <v>0</v>
      </c>
      <c r="Y35" s="701">
        <v>0.66</v>
      </c>
      <c r="Z35" s="701">
        <v>0.66</v>
      </c>
      <c r="AA35" s="701">
        <v>264.63</v>
      </c>
      <c r="AB35" s="701">
        <v>263.45999999999998</v>
      </c>
      <c r="AC35" s="701">
        <v>21.77</v>
      </c>
      <c r="AD35" s="701">
        <v>21.43</v>
      </c>
      <c r="AE35" s="944" t="s">
        <v>1215</v>
      </c>
      <c r="AF35" s="701">
        <v>0.08</v>
      </c>
      <c r="AG35" s="701">
        <v>0.08</v>
      </c>
      <c r="AH35" s="701">
        <v>0.78</v>
      </c>
      <c r="AI35" s="701">
        <v>0.79</v>
      </c>
      <c r="AJ35" s="701">
        <v>59.55</v>
      </c>
      <c r="AK35" s="701">
        <v>56.55</v>
      </c>
      <c r="AL35" s="701">
        <v>10.16</v>
      </c>
      <c r="AM35" s="701">
        <v>10.07</v>
      </c>
      <c r="AN35" s="701">
        <v>202.27</v>
      </c>
      <c r="AO35" s="701">
        <v>202.05</v>
      </c>
      <c r="AP35" s="701">
        <v>0.77</v>
      </c>
      <c r="AQ35" s="701">
        <v>0.77</v>
      </c>
      <c r="AR35" s="701">
        <v>1.75</v>
      </c>
      <c r="AS35" s="701">
        <v>1.76</v>
      </c>
      <c r="AT35" s="944" t="s">
        <v>1215</v>
      </c>
      <c r="AU35" s="701">
        <v>21.39</v>
      </c>
      <c r="AV35" s="701">
        <v>21.36</v>
      </c>
      <c r="AW35" s="701">
        <v>1.22</v>
      </c>
      <c r="AX35" s="701">
        <v>1.1399999999999999</v>
      </c>
      <c r="AY35" s="701">
        <v>20.74</v>
      </c>
      <c r="AZ35" s="701">
        <v>20.7</v>
      </c>
      <c r="BA35" s="701">
        <v>7.0000000000000007E-2</v>
      </c>
      <c r="BB35" s="701">
        <v>7.0000000000000007E-2</v>
      </c>
      <c r="BC35" s="701">
        <v>58.27</v>
      </c>
      <c r="BD35" s="701">
        <v>57.48</v>
      </c>
      <c r="BE35" s="701">
        <v>9.61</v>
      </c>
      <c r="BF35" s="701">
        <v>9.4</v>
      </c>
      <c r="BG35" s="701">
        <v>0.59</v>
      </c>
      <c r="BH35" s="701">
        <v>0.59</v>
      </c>
      <c r="BI35" s="944" t="s">
        <v>1215</v>
      </c>
      <c r="BJ35" s="701">
        <v>82.8</v>
      </c>
      <c r="BK35" s="701">
        <v>84.6</v>
      </c>
      <c r="BL35" s="701">
        <v>0.43</v>
      </c>
      <c r="BM35" s="701">
        <v>0.41</v>
      </c>
      <c r="BN35" s="701">
        <v>110.95</v>
      </c>
      <c r="BO35" s="701">
        <v>109.69</v>
      </c>
      <c r="BP35" s="701">
        <v>2.38</v>
      </c>
      <c r="BQ35" s="701">
        <v>2.38</v>
      </c>
      <c r="BR35" s="701">
        <v>21.2</v>
      </c>
      <c r="BS35" s="701">
        <v>21.18</v>
      </c>
      <c r="BT35" s="701">
        <v>77.87</v>
      </c>
      <c r="BU35" s="701">
        <v>77.8</v>
      </c>
      <c r="BV35" s="701">
        <v>118.17</v>
      </c>
      <c r="BW35" s="701">
        <v>117.29</v>
      </c>
    </row>
    <row r="36" spans="1:75" s="43" customFormat="1" ht="10.5" hidden="1" customHeight="1">
      <c r="A36" s="935" t="s">
        <v>1216</v>
      </c>
      <c r="B36" s="733">
        <v>60.66</v>
      </c>
      <c r="C36" s="733">
        <v>60.79</v>
      </c>
      <c r="D36" s="733">
        <v>77.8</v>
      </c>
      <c r="E36" s="733">
        <v>77.8</v>
      </c>
      <c r="F36" s="733">
        <v>206.36</v>
      </c>
      <c r="G36" s="733">
        <v>206.37</v>
      </c>
      <c r="H36" s="733">
        <v>62.2</v>
      </c>
      <c r="I36" s="733">
        <v>62.25</v>
      </c>
      <c r="J36" s="733">
        <v>12.68</v>
      </c>
      <c r="K36" s="733">
        <v>12.66</v>
      </c>
      <c r="L36" s="733">
        <v>11.86</v>
      </c>
      <c r="M36" s="733">
        <v>11.67</v>
      </c>
      <c r="N36" s="733">
        <v>88.31</v>
      </c>
      <c r="O36" s="733">
        <v>87.08</v>
      </c>
      <c r="P36" s="935" t="s">
        <v>1216</v>
      </c>
      <c r="Q36" s="733">
        <v>10.029999999999999</v>
      </c>
      <c r="R36" s="733">
        <v>10.029999999999999</v>
      </c>
      <c r="S36" s="733">
        <v>1.25</v>
      </c>
      <c r="T36" s="733">
        <v>1.26</v>
      </c>
      <c r="U36" s="733">
        <v>0.01</v>
      </c>
      <c r="V36" s="733">
        <v>0.01</v>
      </c>
      <c r="W36" s="733">
        <v>0</v>
      </c>
      <c r="X36" s="733">
        <v>0</v>
      </c>
      <c r="Y36" s="733">
        <v>0.66</v>
      </c>
      <c r="Z36" s="733">
        <v>0.65</v>
      </c>
      <c r="AA36" s="733">
        <v>263.32</v>
      </c>
      <c r="AB36" s="733">
        <v>262.79000000000002</v>
      </c>
      <c r="AC36" s="733">
        <v>21.63</v>
      </c>
      <c r="AD36" s="733">
        <v>21.55</v>
      </c>
      <c r="AE36" s="935" t="s">
        <v>1216</v>
      </c>
      <c r="AF36" s="733">
        <v>0.08</v>
      </c>
      <c r="AG36" s="733">
        <v>0.08</v>
      </c>
      <c r="AH36" s="733">
        <v>0.78</v>
      </c>
      <c r="AI36" s="733">
        <v>0.78</v>
      </c>
      <c r="AJ36" s="733">
        <v>57.95</v>
      </c>
      <c r="AK36" s="733">
        <v>58.84</v>
      </c>
      <c r="AL36" s="733">
        <v>10.25</v>
      </c>
      <c r="AM36" s="733">
        <v>10.15</v>
      </c>
      <c r="AN36" s="733">
        <v>202.07</v>
      </c>
      <c r="AO36" s="733">
        <v>201.97</v>
      </c>
      <c r="AP36" s="733">
        <v>0.77</v>
      </c>
      <c r="AQ36" s="733">
        <v>0.76</v>
      </c>
      <c r="AR36" s="733">
        <v>1.76</v>
      </c>
      <c r="AS36" s="733">
        <v>1.76</v>
      </c>
      <c r="AT36" s="935" t="s">
        <v>1216</v>
      </c>
      <c r="AU36" s="733">
        <v>21.36</v>
      </c>
      <c r="AV36" s="733">
        <v>21.37</v>
      </c>
      <c r="AW36" s="733">
        <v>1.21</v>
      </c>
      <c r="AX36" s="733">
        <v>1.27</v>
      </c>
      <c r="AY36" s="733">
        <v>20.74</v>
      </c>
      <c r="AZ36" s="733">
        <v>20.75</v>
      </c>
      <c r="BA36" s="733">
        <v>7.0000000000000007E-2</v>
      </c>
      <c r="BB36" s="733">
        <v>7.0000000000000007E-2</v>
      </c>
      <c r="BC36" s="733">
        <v>57.41</v>
      </c>
      <c r="BD36" s="733">
        <v>57.09</v>
      </c>
      <c r="BE36" s="733">
        <v>9.31</v>
      </c>
      <c r="BF36" s="733">
        <v>9.32</v>
      </c>
      <c r="BG36" s="733">
        <v>0.59</v>
      </c>
      <c r="BH36" s="733">
        <v>0.57999999999999996</v>
      </c>
      <c r="BI36" s="935" t="s">
        <v>1216</v>
      </c>
      <c r="BJ36" s="733">
        <v>83.22</v>
      </c>
      <c r="BK36" s="733">
        <v>81.61</v>
      </c>
      <c r="BL36" s="733">
        <v>0.39</v>
      </c>
      <c r="BM36" s="733">
        <v>0.38</v>
      </c>
      <c r="BN36" s="733">
        <v>109.91</v>
      </c>
      <c r="BO36" s="733">
        <v>109.5</v>
      </c>
      <c r="BP36" s="733">
        <v>2.39</v>
      </c>
      <c r="BQ36" s="733">
        <v>2.4</v>
      </c>
      <c r="BR36" s="733">
        <v>21.18</v>
      </c>
      <c r="BS36" s="733">
        <v>21.18</v>
      </c>
      <c r="BT36" s="733">
        <v>77.8</v>
      </c>
      <c r="BU36" s="733">
        <v>77.8</v>
      </c>
      <c r="BV36" s="733">
        <v>119.23</v>
      </c>
      <c r="BW36" s="733">
        <v>120.12</v>
      </c>
    </row>
    <row r="37" spans="1:75" s="43" customFormat="1" ht="10.5" hidden="1" customHeight="1">
      <c r="A37" s="944" t="s">
        <v>1208</v>
      </c>
      <c r="B37" s="701">
        <v>60.2</v>
      </c>
      <c r="C37" s="701">
        <v>59.46</v>
      </c>
      <c r="D37" s="701">
        <v>77.8</v>
      </c>
      <c r="E37" s="701">
        <v>77.8</v>
      </c>
      <c r="F37" s="701">
        <v>206.36</v>
      </c>
      <c r="G37" s="701">
        <v>206.37</v>
      </c>
      <c r="H37" s="701">
        <v>61.72</v>
      </c>
      <c r="I37" s="701">
        <v>61.27</v>
      </c>
      <c r="J37" s="701">
        <v>12.65</v>
      </c>
      <c r="K37" s="701">
        <v>12.67</v>
      </c>
      <c r="L37" s="701">
        <v>11.3</v>
      </c>
      <c r="M37" s="701">
        <v>11.27</v>
      </c>
      <c r="N37" s="701">
        <v>84.32</v>
      </c>
      <c r="O37" s="701">
        <v>84.21</v>
      </c>
      <c r="P37" s="944" t="s">
        <v>1208</v>
      </c>
      <c r="Q37" s="701">
        <v>10.029999999999999</v>
      </c>
      <c r="R37" s="701">
        <v>10.029999999999999</v>
      </c>
      <c r="S37" s="701">
        <v>1.25</v>
      </c>
      <c r="T37" s="701">
        <v>1.24</v>
      </c>
      <c r="U37" s="701">
        <v>0.01</v>
      </c>
      <c r="V37" s="701">
        <v>0.01</v>
      </c>
      <c r="W37" s="701">
        <v>0</v>
      </c>
      <c r="X37" s="701">
        <v>0</v>
      </c>
      <c r="Y37" s="701">
        <v>0.65</v>
      </c>
      <c r="Z37" s="701">
        <v>0.65</v>
      </c>
      <c r="AA37" s="701">
        <v>260.2</v>
      </c>
      <c r="AB37" s="701">
        <v>258.82</v>
      </c>
      <c r="AC37" s="701">
        <v>21.13</v>
      </c>
      <c r="AD37" s="701">
        <v>20.93</v>
      </c>
      <c r="AE37" s="944" t="s">
        <v>1208</v>
      </c>
      <c r="AF37" s="701">
        <v>0.08</v>
      </c>
      <c r="AG37" s="701">
        <v>0.08</v>
      </c>
      <c r="AH37" s="701">
        <v>0.78</v>
      </c>
      <c r="AI37" s="701">
        <v>0.78</v>
      </c>
      <c r="AJ37" s="701">
        <v>58.14</v>
      </c>
      <c r="AK37" s="701">
        <v>58.32</v>
      </c>
      <c r="AL37" s="701">
        <v>9.76</v>
      </c>
      <c r="AM37" s="701">
        <v>9.6999999999999993</v>
      </c>
      <c r="AN37" s="701">
        <v>202.08</v>
      </c>
      <c r="AO37" s="701">
        <v>202.08</v>
      </c>
      <c r="AP37" s="701">
        <v>0.76</v>
      </c>
      <c r="AQ37" s="701">
        <v>0.76</v>
      </c>
      <c r="AR37" s="701">
        <v>1.75</v>
      </c>
      <c r="AS37" s="701">
        <v>1.74</v>
      </c>
      <c r="AT37" s="944" t="s">
        <v>1208</v>
      </c>
      <c r="AU37" s="701">
        <v>21.37</v>
      </c>
      <c r="AV37" s="701">
        <v>21.37</v>
      </c>
      <c r="AW37" s="701">
        <v>1.29</v>
      </c>
      <c r="AX37" s="701">
        <v>1.35</v>
      </c>
      <c r="AY37" s="701">
        <v>20.74</v>
      </c>
      <c r="AZ37" s="701">
        <v>20.74</v>
      </c>
      <c r="BA37" s="701">
        <v>7.0000000000000007E-2</v>
      </c>
      <c r="BB37" s="701">
        <v>7.0000000000000007E-2</v>
      </c>
      <c r="BC37" s="701">
        <v>56.51</v>
      </c>
      <c r="BD37" s="701">
        <v>56.55</v>
      </c>
      <c r="BE37" s="701">
        <v>9.11</v>
      </c>
      <c r="BF37" s="701">
        <v>9.02</v>
      </c>
      <c r="BG37" s="701">
        <v>0.57999999999999996</v>
      </c>
      <c r="BH37" s="701">
        <v>0.57999999999999996</v>
      </c>
      <c r="BI37" s="944" t="s">
        <v>1208</v>
      </c>
      <c r="BJ37" s="701">
        <v>79.489999999999995</v>
      </c>
      <c r="BK37" s="701">
        <v>80.430000000000007</v>
      </c>
      <c r="BL37" s="701">
        <v>0.37</v>
      </c>
      <c r="BM37" s="701">
        <v>0.37</v>
      </c>
      <c r="BN37" s="701">
        <v>107.82</v>
      </c>
      <c r="BO37" s="701">
        <v>107.64</v>
      </c>
      <c r="BP37" s="701">
        <v>2.38</v>
      </c>
      <c r="BQ37" s="701">
        <v>2.39</v>
      </c>
      <c r="BR37" s="701">
        <v>21.18</v>
      </c>
      <c r="BS37" s="701">
        <v>21.18</v>
      </c>
      <c r="BT37" s="701">
        <v>77.8</v>
      </c>
      <c r="BU37" s="701">
        <v>77.8</v>
      </c>
      <c r="BV37" s="701">
        <v>116.58</v>
      </c>
      <c r="BW37" s="701">
        <v>115.11</v>
      </c>
    </row>
    <row r="38" spans="1:75" s="43" customFormat="1" ht="10.5" hidden="1" customHeight="1">
      <c r="A38" s="935" t="s">
        <v>1217</v>
      </c>
      <c r="B38" s="733">
        <v>60.08</v>
      </c>
      <c r="C38" s="733">
        <v>62.4</v>
      </c>
      <c r="D38" s="733">
        <v>77.8</v>
      </c>
      <c r="E38" s="733">
        <v>77.8</v>
      </c>
      <c r="F38" s="733">
        <v>206.37</v>
      </c>
      <c r="G38" s="733">
        <v>206.37</v>
      </c>
      <c r="H38" s="733">
        <v>62.91</v>
      </c>
      <c r="I38" s="733">
        <v>64.73</v>
      </c>
      <c r="J38" s="733">
        <v>12.69</v>
      </c>
      <c r="K38" s="733">
        <v>12.73</v>
      </c>
      <c r="L38" s="733">
        <v>11.25</v>
      </c>
      <c r="M38" s="733">
        <v>11.59</v>
      </c>
      <c r="N38" s="733">
        <v>84</v>
      </c>
      <c r="O38" s="733">
        <v>86.48</v>
      </c>
      <c r="P38" s="935" t="s">
        <v>1217</v>
      </c>
      <c r="Q38" s="733">
        <v>10.039999999999999</v>
      </c>
      <c r="R38" s="733">
        <v>10.039999999999999</v>
      </c>
      <c r="S38" s="733">
        <v>1.24</v>
      </c>
      <c r="T38" s="733">
        <v>1.23</v>
      </c>
      <c r="U38" s="733">
        <v>0.01</v>
      </c>
      <c r="V38" s="733">
        <v>0.01</v>
      </c>
      <c r="W38" s="733">
        <v>0</v>
      </c>
      <c r="X38" s="733">
        <v>0</v>
      </c>
      <c r="Y38" s="733">
        <v>0.65</v>
      </c>
      <c r="Z38" s="733">
        <v>0.65</v>
      </c>
      <c r="AA38" s="733">
        <v>258.01</v>
      </c>
      <c r="AB38" s="733">
        <v>258.17</v>
      </c>
      <c r="AC38" s="733">
        <v>21.4</v>
      </c>
      <c r="AD38" s="733">
        <v>21.81</v>
      </c>
      <c r="AE38" s="935" t="s">
        <v>1217</v>
      </c>
      <c r="AF38" s="733">
        <v>7.0000000000000007E-2</v>
      </c>
      <c r="AG38" s="733">
        <v>7.0000000000000007E-2</v>
      </c>
      <c r="AH38" s="733">
        <v>0.78</v>
      </c>
      <c r="AI38" s="733">
        <v>0.77</v>
      </c>
      <c r="AJ38" s="733">
        <v>59.03</v>
      </c>
      <c r="AK38" s="733">
        <v>59.81</v>
      </c>
      <c r="AL38" s="733">
        <v>9.84</v>
      </c>
      <c r="AM38" s="733">
        <v>10.34</v>
      </c>
      <c r="AN38" s="733">
        <v>202.1</v>
      </c>
      <c r="AO38" s="733">
        <v>202.08</v>
      </c>
      <c r="AP38" s="733">
        <v>0.76</v>
      </c>
      <c r="AQ38" s="733">
        <v>0.77</v>
      </c>
      <c r="AR38" s="733">
        <v>1.75</v>
      </c>
      <c r="AS38" s="733">
        <v>1.74</v>
      </c>
      <c r="AT38" s="935" t="s">
        <v>1217</v>
      </c>
      <c r="AU38" s="733">
        <v>21.37</v>
      </c>
      <c r="AV38" s="733">
        <v>21.37</v>
      </c>
      <c r="AW38" s="733">
        <v>1.46</v>
      </c>
      <c r="AX38" s="733">
        <v>1.54</v>
      </c>
      <c r="AY38" s="733">
        <v>20.74</v>
      </c>
      <c r="AZ38" s="733">
        <v>20.75</v>
      </c>
      <c r="BA38" s="733">
        <v>7.0000000000000007E-2</v>
      </c>
      <c r="BB38" s="733">
        <v>7.0000000000000007E-2</v>
      </c>
      <c r="BC38" s="733">
        <v>57.62</v>
      </c>
      <c r="BD38" s="733">
        <v>58.87</v>
      </c>
      <c r="BE38" s="733">
        <v>8.99</v>
      </c>
      <c r="BF38" s="733">
        <v>9.32</v>
      </c>
      <c r="BG38" s="733">
        <v>0.57999999999999996</v>
      </c>
      <c r="BH38" s="733">
        <v>0.57999999999999996</v>
      </c>
      <c r="BI38" s="935" t="s">
        <v>1217</v>
      </c>
      <c r="BJ38" s="733">
        <v>80.91</v>
      </c>
      <c r="BK38" s="733">
        <v>82.79</v>
      </c>
      <c r="BL38" s="733">
        <v>0.36</v>
      </c>
      <c r="BM38" s="733">
        <v>0.35</v>
      </c>
      <c r="BN38" s="733">
        <v>107.59</v>
      </c>
      <c r="BO38" s="733">
        <v>108.69</v>
      </c>
      <c r="BP38" s="733">
        <v>2.39</v>
      </c>
      <c r="BQ38" s="733">
        <v>2.37</v>
      </c>
      <c r="BR38" s="733">
        <v>21.18</v>
      </c>
      <c r="BS38" s="733">
        <v>21.18</v>
      </c>
      <c r="BT38" s="733">
        <v>77.8</v>
      </c>
      <c r="BU38" s="733">
        <v>77.8</v>
      </c>
      <c r="BV38" s="733">
        <v>116.18</v>
      </c>
      <c r="BW38" s="733">
        <v>120.08</v>
      </c>
    </row>
    <row r="39" spans="1:75" s="43" customFormat="1" ht="10.5" hidden="1" customHeight="1">
      <c r="A39" s="1229" t="s">
        <v>1218</v>
      </c>
      <c r="B39" s="1230">
        <v>61.36</v>
      </c>
      <c r="C39" s="1230">
        <v>59.46</v>
      </c>
      <c r="D39" s="1231">
        <v>77.8</v>
      </c>
      <c r="E39" s="1231">
        <v>77.8</v>
      </c>
      <c r="F39" s="1230">
        <v>206.34</v>
      </c>
      <c r="G39" s="1230">
        <v>206.34</v>
      </c>
      <c r="H39" s="1230">
        <v>63.92</v>
      </c>
      <c r="I39" s="1230">
        <v>62.52</v>
      </c>
      <c r="J39" s="1230">
        <v>12.72</v>
      </c>
      <c r="K39" s="1230">
        <v>12.71</v>
      </c>
      <c r="L39" s="1230">
        <v>11.65</v>
      </c>
      <c r="M39" s="1230">
        <v>11.46</v>
      </c>
      <c r="N39" s="1231">
        <v>86.9</v>
      </c>
      <c r="O39" s="1230">
        <v>85.47</v>
      </c>
      <c r="P39" s="1232" t="s">
        <v>1218</v>
      </c>
      <c r="Q39" s="1230">
        <v>10.039999999999999</v>
      </c>
      <c r="R39" s="1230">
        <v>10.029999999999999</v>
      </c>
      <c r="S39" s="1230">
        <v>1.22</v>
      </c>
      <c r="T39" s="1230">
        <v>1.22</v>
      </c>
      <c r="U39" s="1230">
        <v>0.01</v>
      </c>
      <c r="V39" s="1230">
        <v>0.01</v>
      </c>
      <c r="W39" s="1231">
        <v>0</v>
      </c>
      <c r="X39" s="1231">
        <v>0</v>
      </c>
      <c r="Y39" s="1230">
        <v>0.64</v>
      </c>
      <c r="Z39" s="1230">
        <v>0.63</v>
      </c>
      <c r="AA39" s="1230">
        <v>257.64999999999998</v>
      </c>
      <c r="AB39" s="1230">
        <v>256.81</v>
      </c>
      <c r="AC39" s="1230">
        <v>21.62</v>
      </c>
      <c r="AD39" s="1230">
        <v>21.22</v>
      </c>
      <c r="AE39" s="1232" t="s">
        <v>1218</v>
      </c>
      <c r="AF39" s="1230">
        <v>7.0000000000000007E-2</v>
      </c>
      <c r="AG39" s="1230">
        <v>7.0000000000000007E-2</v>
      </c>
      <c r="AH39" s="1230">
        <v>0.76</v>
      </c>
      <c r="AI39" s="1230">
        <v>0.76</v>
      </c>
      <c r="AJ39" s="1230">
        <v>57.57</v>
      </c>
      <c r="AK39" s="1230">
        <v>55.24</v>
      </c>
      <c r="AL39" s="1230">
        <v>10.31</v>
      </c>
      <c r="AM39" s="1230">
        <v>10.02</v>
      </c>
      <c r="AN39" s="1231">
        <v>202.1</v>
      </c>
      <c r="AO39" s="1231">
        <v>202.1</v>
      </c>
      <c r="AP39" s="1230">
        <v>0.76</v>
      </c>
      <c r="AQ39" s="1230">
        <v>0.76</v>
      </c>
      <c r="AR39" s="1230">
        <v>1.74</v>
      </c>
      <c r="AS39" s="1230">
        <v>1.75</v>
      </c>
      <c r="AT39" s="1232" t="s">
        <v>1218</v>
      </c>
      <c r="AU39" s="1230">
        <v>21.37</v>
      </c>
      <c r="AV39" s="1230">
        <v>21.38</v>
      </c>
      <c r="AW39" s="1230">
        <v>1.54</v>
      </c>
      <c r="AX39" s="1231">
        <v>1.5</v>
      </c>
      <c r="AY39" s="1230">
        <v>20.75</v>
      </c>
      <c r="AZ39" s="1230">
        <v>20.74</v>
      </c>
      <c r="BA39" s="1230">
        <v>7.0000000000000007E-2</v>
      </c>
      <c r="BB39" s="1230">
        <v>7.0000000000000007E-2</v>
      </c>
      <c r="BC39" s="1230">
        <v>58.35</v>
      </c>
      <c r="BD39" s="1230">
        <v>57.72</v>
      </c>
      <c r="BE39" s="1230">
        <v>9.33</v>
      </c>
      <c r="BF39" s="1230">
        <v>9.1300000000000008</v>
      </c>
      <c r="BG39" s="1230">
        <v>0.57999999999999996</v>
      </c>
      <c r="BH39" s="1230">
        <v>0.57999999999999996</v>
      </c>
      <c r="BI39" s="1232" t="s">
        <v>1218</v>
      </c>
      <c r="BJ39" s="1230">
        <v>83.47</v>
      </c>
      <c r="BK39" s="1230">
        <v>82.77</v>
      </c>
      <c r="BL39" s="1230">
        <v>0.36</v>
      </c>
      <c r="BM39" s="1230">
        <v>0.36</v>
      </c>
      <c r="BN39" s="1230">
        <v>109.34</v>
      </c>
      <c r="BO39" s="1230">
        <v>108.18</v>
      </c>
      <c r="BP39" s="1230">
        <v>2.3199999999999998</v>
      </c>
      <c r="BQ39" s="1230">
        <v>2.31</v>
      </c>
      <c r="BR39" s="1230">
        <v>21.18</v>
      </c>
      <c r="BS39" s="1230">
        <v>21.18</v>
      </c>
      <c r="BT39" s="1231">
        <v>77.8</v>
      </c>
      <c r="BU39" s="1231">
        <v>77.8</v>
      </c>
      <c r="BV39" s="1230">
        <v>120.22</v>
      </c>
      <c r="BW39" s="1230">
        <v>118.94</v>
      </c>
    </row>
    <row r="40" spans="1:75" s="483" customFormat="1" ht="11.85" hidden="1" customHeight="1">
      <c r="A40" s="935" t="s">
        <v>1209</v>
      </c>
      <c r="B40" s="733">
        <v>60.04</v>
      </c>
      <c r="C40" s="733">
        <v>59.81</v>
      </c>
      <c r="D40" s="733">
        <v>77.8</v>
      </c>
      <c r="E40" s="733">
        <v>77.81</v>
      </c>
      <c r="F40" s="733">
        <v>206.35</v>
      </c>
      <c r="G40" s="733">
        <v>206.35</v>
      </c>
      <c r="H40" s="733">
        <v>63</v>
      </c>
      <c r="I40" s="733">
        <v>62.78</v>
      </c>
      <c r="J40" s="733">
        <v>12.72</v>
      </c>
      <c r="K40" s="733">
        <v>12.73</v>
      </c>
      <c r="L40" s="733">
        <v>11.71</v>
      </c>
      <c r="M40" s="733">
        <v>11.72</v>
      </c>
      <c r="N40" s="733">
        <v>87.35</v>
      </c>
      <c r="O40" s="733">
        <v>87.43</v>
      </c>
      <c r="P40" s="1261" t="s">
        <v>1209</v>
      </c>
      <c r="Q40" s="733">
        <v>10.039999999999999</v>
      </c>
      <c r="R40" s="733">
        <v>10.039999999999999</v>
      </c>
      <c r="S40" s="733">
        <v>1.22</v>
      </c>
      <c r="T40" s="733">
        <v>1.22</v>
      </c>
      <c r="U40" s="733">
        <v>0.01</v>
      </c>
      <c r="V40" s="733">
        <v>0.01</v>
      </c>
      <c r="W40" s="733">
        <v>0</v>
      </c>
      <c r="X40" s="733">
        <v>0</v>
      </c>
      <c r="Y40" s="733">
        <v>0.63</v>
      </c>
      <c r="Z40" s="733">
        <v>0.63</v>
      </c>
      <c r="AA40" s="733">
        <v>257.49</v>
      </c>
      <c r="AB40" s="733">
        <v>257.42</v>
      </c>
      <c r="AC40" s="733">
        <v>20.8</v>
      </c>
      <c r="AD40" s="733">
        <v>20.55</v>
      </c>
      <c r="AE40" s="1261" t="s">
        <v>1209</v>
      </c>
      <c r="AF40" s="733">
        <v>7.0000000000000007E-2</v>
      </c>
      <c r="AG40" s="733">
        <v>7.0000000000000007E-2</v>
      </c>
      <c r="AH40" s="733">
        <v>0.76</v>
      </c>
      <c r="AI40" s="733">
        <v>0.76</v>
      </c>
      <c r="AJ40" s="733">
        <v>54.46</v>
      </c>
      <c r="AK40" s="733">
        <v>53.34</v>
      </c>
      <c r="AL40" s="733">
        <v>9.9700000000000006</v>
      </c>
      <c r="AM40" s="733">
        <v>9.9</v>
      </c>
      <c r="AN40" s="733">
        <v>202.07</v>
      </c>
      <c r="AO40" s="733">
        <v>202.12</v>
      </c>
      <c r="AP40" s="733">
        <v>0.76</v>
      </c>
      <c r="AQ40" s="733">
        <v>0.76</v>
      </c>
      <c r="AR40" s="733">
        <v>1.73</v>
      </c>
      <c r="AS40" s="733">
        <v>1.72</v>
      </c>
      <c r="AT40" s="1261" t="s">
        <v>1209</v>
      </c>
      <c r="AU40" s="733">
        <v>21.37</v>
      </c>
      <c r="AV40" s="733">
        <v>21.37</v>
      </c>
      <c r="AW40" s="733">
        <v>1.43</v>
      </c>
      <c r="AX40" s="733">
        <v>1.4</v>
      </c>
      <c r="AY40" s="733">
        <v>20.75</v>
      </c>
      <c r="AZ40" s="733">
        <v>20.74</v>
      </c>
      <c r="BA40" s="733">
        <v>7.0000000000000007E-2</v>
      </c>
      <c r="BB40" s="733">
        <v>7.0000000000000007E-2</v>
      </c>
      <c r="BC40" s="733">
        <v>57.85</v>
      </c>
      <c r="BD40" s="733">
        <v>57.8</v>
      </c>
      <c r="BE40" s="733">
        <v>9.41</v>
      </c>
      <c r="BF40" s="733">
        <v>9.44</v>
      </c>
      <c r="BG40" s="733">
        <v>0.57999999999999996</v>
      </c>
      <c r="BH40" s="733">
        <v>0.57999999999999996</v>
      </c>
      <c r="BI40" s="1261" t="s">
        <v>1209</v>
      </c>
      <c r="BJ40" s="733">
        <v>83.58</v>
      </c>
      <c r="BK40" s="733">
        <v>84.03</v>
      </c>
      <c r="BL40" s="733">
        <v>0.36</v>
      </c>
      <c r="BM40" s="733">
        <v>0.36</v>
      </c>
      <c r="BN40" s="733">
        <v>109.25</v>
      </c>
      <c r="BO40" s="733">
        <v>109.18</v>
      </c>
      <c r="BP40" s="733">
        <v>2.31</v>
      </c>
      <c r="BQ40" s="733">
        <v>2.2999999999999998</v>
      </c>
      <c r="BR40" s="733">
        <v>21.18</v>
      </c>
      <c r="BS40" s="733">
        <v>21.18</v>
      </c>
      <c r="BT40" s="733">
        <v>77.8</v>
      </c>
      <c r="BU40" s="733">
        <v>77.81</v>
      </c>
      <c r="BV40" s="733">
        <v>121.17</v>
      </c>
      <c r="BW40" s="733">
        <v>122.42</v>
      </c>
    </row>
    <row r="41" spans="1:75" s="483" customFormat="1" ht="10.5" customHeight="1">
      <c r="A41" s="1262" t="s">
        <v>2608</v>
      </c>
      <c r="B41" s="1457">
        <f>SUM(B42:B53)/12</f>
        <v>57.01250000000001</v>
      </c>
      <c r="C41" s="1457">
        <f>C53</f>
        <v>58.42</v>
      </c>
      <c r="D41" s="1457">
        <f>SUM(D42:D53)/12</f>
        <v>78.265833333333319</v>
      </c>
      <c r="E41" s="1457">
        <f>E53</f>
        <v>78.400000000000006</v>
      </c>
      <c r="F41" s="1457">
        <f>SUM(F42:F53)/12</f>
        <v>207.57166666666663</v>
      </c>
      <c r="G41" s="1457">
        <f>G53</f>
        <v>207.76</v>
      </c>
      <c r="H41" s="1457">
        <f>SUM(H42:H53)/12</f>
        <v>59.071666666666665</v>
      </c>
      <c r="I41" s="1457">
        <f>I53</f>
        <v>60.63</v>
      </c>
      <c r="J41" s="1457">
        <f>SUM(J42:J53)/12</f>
        <v>12.182499999999999</v>
      </c>
      <c r="K41" s="1457">
        <f>K53</f>
        <v>11.82</v>
      </c>
      <c r="L41" s="1457">
        <f>SUM(L42:L53)/12</f>
        <v>11.653333333333334</v>
      </c>
      <c r="M41" s="1457">
        <f>M53</f>
        <v>11.73</v>
      </c>
      <c r="N41" s="1457">
        <f>SUM(N42:N53)/12</f>
        <v>86.88</v>
      </c>
      <c r="O41" s="1457">
        <f>O53</f>
        <v>87.21</v>
      </c>
      <c r="P41" s="1262" t="s">
        <v>2608</v>
      </c>
      <c r="Q41" s="1457">
        <f>SUM(Q42:Q53)/12</f>
        <v>10.084166666666667</v>
      </c>
      <c r="R41" s="1457">
        <f>R53</f>
        <v>10.1</v>
      </c>
      <c r="S41" s="1457">
        <f>SUM(S42:S53)/12</f>
        <v>1.18</v>
      </c>
      <c r="T41" s="1457">
        <f>T53</f>
        <v>1.1599999999999999</v>
      </c>
      <c r="U41" s="1457">
        <f>SUM(U42:U53)/12</f>
        <v>9.9999999999999985E-3</v>
      </c>
      <c r="V41" s="1457">
        <f>V53</f>
        <v>0.01</v>
      </c>
      <c r="W41" s="1457">
        <f>SUM(W42:W53)/12</f>
        <v>0</v>
      </c>
      <c r="X41" s="1457">
        <f>X53</f>
        <v>0</v>
      </c>
      <c r="Y41" s="1457">
        <f>SUM(Y42:Y53)/12</f>
        <v>0.67083333333333328</v>
      </c>
      <c r="Z41" s="1457">
        <f>Z53</f>
        <v>0.76</v>
      </c>
      <c r="AA41" s="1457">
        <f>SUM(AA42:AA53)/12</f>
        <v>258.95499999999998</v>
      </c>
      <c r="AB41" s="1457">
        <f>AB53</f>
        <v>259.52</v>
      </c>
      <c r="AC41" s="1457">
        <f>SUM(AC42:AC53)/12</f>
        <v>18.94916666666667</v>
      </c>
      <c r="AD41" s="1457">
        <f>AD53</f>
        <v>19.5</v>
      </c>
      <c r="AE41" s="1262" t="s">
        <v>2608</v>
      </c>
      <c r="AF41" s="1457">
        <f>SUM(AF42:AF53)/12</f>
        <v>6.3333333333333353E-2</v>
      </c>
      <c r="AG41" s="1457">
        <f>AG53</f>
        <v>7.0000000000000007E-2</v>
      </c>
      <c r="AH41" s="1457">
        <f>SUM(AH42:AH53)/12</f>
        <v>0.73750000000000016</v>
      </c>
      <c r="AI41" s="1457">
        <f>AI53</f>
        <v>0.72</v>
      </c>
      <c r="AJ41" s="1457">
        <f>SUM(AJ42:AJ53)/12</f>
        <v>52.295000000000009</v>
      </c>
      <c r="AK41" s="1457">
        <f>AK53</f>
        <v>55.76</v>
      </c>
      <c r="AL41" s="1457">
        <f>SUM(AL42:AL53)/12</f>
        <v>9.3158333333333321</v>
      </c>
      <c r="AM41" s="1457">
        <f>AM53</f>
        <v>9.34</v>
      </c>
      <c r="AN41" s="1457">
        <f>SUM(AN42:AN53)/12</f>
        <v>203.28250000000003</v>
      </c>
      <c r="AO41" s="1457">
        <f>AO53</f>
        <v>203.63</v>
      </c>
      <c r="AP41" s="1457">
        <f>SUM(AP42:AP53)/12</f>
        <v>0.75</v>
      </c>
      <c r="AQ41" s="1457">
        <f>AQ53</f>
        <v>0.75</v>
      </c>
      <c r="AR41" s="1457">
        <f>SUM(AR42:AR53)/12</f>
        <v>1.674166666666667</v>
      </c>
      <c r="AS41" s="1457">
        <f>AS53</f>
        <v>1.67</v>
      </c>
      <c r="AT41" s="1262" t="s">
        <v>2608</v>
      </c>
      <c r="AU41" s="1457">
        <f>SUM(AU42:AU53)/12</f>
        <v>21.495000000000001</v>
      </c>
      <c r="AV41" s="1457">
        <f>AV53</f>
        <v>21.53</v>
      </c>
      <c r="AW41" s="1457">
        <f>SUM(AW42:AW53)/12</f>
        <v>1.1674999999999998</v>
      </c>
      <c r="AX41" s="1457">
        <f>AX53</f>
        <v>1.22</v>
      </c>
      <c r="AY41" s="1457">
        <f>SUM(AY42:AY53)/12</f>
        <v>20.865833333333331</v>
      </c>
      <c r="AZ41" s="1457">
        <f>AZ53</f>
        <v>20.9</v>
      </c>
      <c r="BA41" s="1457">
        <f>SUM(BA42:BA53)/12</f>
        <v>6.9166666666666696E-2</v>
      </c>
      <c r="BB41" s="1457">
        <f>BB53</f>
        <v>7.0000000000000007E-2</v>
      </c>
      <c r="BC41" s="1457">
        <f>SUM(BC42:BC53)/12</f>
        <v>56.328333333333326</v>
      </c>
      <c r="BD41" s="1457">
        <f>BD53</f>
        <v>58.16</v>
      </c>
      <c r="BE41" s="1457">
        <f>SUM(BE42:BE53)/12</f>
        <v>9.3074999999999992</v>
      </c>
      <c r="BF41" s="1457">
        <f>BF53</f>
        <v>9.25</v>
      </c>
      <c r="BG41" s="1457">
        <f>SUM(BG42:BG53)/12</f>
        <v>0.5508333333333334</v>
      </c>
      <c r="BH41" s="1457">
        <f>BH53</f>
        <v>0.54</v>
      </c>
      <c r="BI41" s="1262" t="s">
        <v>2608</v>
      </c>
      <c r="BJ41" s="1457">
        <f>SUM(BJ42:BJ53)/12</f>
        <v>79.894166666666692</v>
      </c>
      <c r="BK41" s="1457">
        <f>BK53</f>
        <v>80.02</v>
      </c>
      <c r="BL41" s="1457">
        <f>SUM(BL42:BL53)/12</f>
        <v>0.35749999999999993</v>
      </c>
      <c r="BM41" s="1457">
        <f>BM53</f>
        <v>0.36</v>
      </c>
      <c r="BN41" s="1457">
        <f>SUM(BN42:BN53)/12</f>
        <v>109.41833333333334</v>
      </c>
      <c r="BO41" s="1457">
        <f>BO53</f>
        <v>109.44</v>
      </c>
      <c r="BP41" s="1457">
        <f>SUM(BP42:BP53)/12</f>
        <v>2.2041666666666666</v>
      </c>
      <c r="BQ41" s="1457">
        <f>BQ53</f>
        <v>2.2200000000000002</v>
      </c>
      <c r="BR41" s="1457">
        <f>SUM(BR42:BR53)/12</f>
        <v>21.307500000000001</v>
      </c>
      <c r="BS41" s="1457">
        <f>BS53</f>
        <v>21.35</v>
      </c>
      <c r="BT41" s="1457">
        <f>SUM(BT42:BT53)/12</f>
        <v>78.265833333333319</v>
      </c>
      <c r="BU41" s="1457">
        <f>BU53</f>
        <v>78.400000000000006</v>
      </c>
      <c r="BV41" s="1457">
        <f>SUM(BV42:BV53)/12</f>
        <v>116.13583333333337</v>
      </c>
      <c r="BW41" s="1457">
        <f>BW53</f>
        <v>105.25</v>
      </c>
    </row>
    <row r="42" spans="1:75" s="483" customFormat="1" ht="10.5" customHeight="1">
      <c r="A42" s="935" t="s">
        <v>1211</v>
      </c>
      <c r="B42" s="733">
        <v>57.76</v>
      </c>
      <c r="C42" s="733">
        <v>56.73</v>
      </c>
      <c r="D42" s="733">
        <v>77.8</v>
      </c>
      <c r="E42" s="733">
        <v>77.8</v>
      </c>
      <c r="F42" s="733">
        <v>206.35</v>
      </c>
      <c r="G42" s="733">
        <v>206.34</v>
      </c>
      <c r="H42" s="733">
        <v>60.68</v>
      </c>
      <c r="I42" s="733">
        <v>59.83</v>
      </c>
      <c r="J42" s="733">
        <v>12.72</v>
      </c>
      <c r="K42" s="733">
        <v>12.72</v>
      </c>
      <c r="L42" s="733">
        <v>11.48</v>
      </c>
      <c r="M42" s="733">
        <v>11.4</v>
      </c>
      <c r="N42" s="733">
        <v>85.63</v>
      </c>
      <c r="O42" s="733">
        <v>85.04</v>
      </c>
      <c r="P42" s="935" t="s">
        <v>1211</v>
      </c>
      <c r="Q42" s="733">
        <v>10.039999999999999</v>
      </c>
      <c r="R42" s="733">
        <v>10.029999999999999</v>
      </c>
      <c r="S42" s="733">
        <v>1.22</v>
      </c>
      <c r="T42" s="733">
        <v>1.21</v>
      </c>
      <c r="U42" s="733">
        <v>0.01</v>
      </c>
      <c r="V42" s="733">
        <v>0.01</v>
      </c>
      <c r="W42" s="733">
        <v>0</v>
      </c>
      <c r="X42" s="733">
        <v>0</v>
      </c>
      <c r="Y42" s="733">
        <v>0.63</v>
      </c>
      <c r="Z42" s="733">
        <v>0.63</v>
      </c>
      <c r="AA42" s="733">
        <v>256.95</v>
      </c>
      <c r="AB42" s="733">
        <v>256.81</v>
      </c>
      <c r="AC42" s="733">
        <v>20.47</v>
      </c>
      <c r="AD42" s="733">
        <v>20.38</v>
      </c>
      <c r="AE42" s="935" t="s">
        <v>1211</v>
      </c>
      <c r="AF42" s="733">
        <v>7.0000000000000007E-2</v>
      </c>
      <c r="AG42" s="733">
        <v>0.06</v>
      </c>
      <c r="AH42" s="733">
        <v>0.76</v>
      </c>
      <c r="AI42" s="733">
        <v>0.76</v>
      </c>
      <c r="AJ42" s="733">
        <v>51.73</v>
      </c>
      <c r="AK42" s="733">
        <v>51.41</v>
      </c>
      <c r="AL42" s="733">
        <v>9.6</v>
      </c>
      <c r="AM42" s="733">
        <v>9.52</v>
      </c>
      <c r="AN42" s="733">
        <v>202.06</v>
      </c>
      <c r="AO42" s="733">
        <v>202.08</v>
      </c>
      <c r="AP42" s="733">
        <v>0.76</v>
      </c>
      <c r="AQ42" s="733">
        <v>0.76</v>
      </c>
      <c r="AR42" s="733">
        <v>1.72</v>
      </c>
      <c r="AS42" s="733">
        <v>1.7</v>
      </c>
      <c r="AT42" s="935" t="s">
        <v>1211</v>
      </c>
      <c r="AU42" s="733">
        <v>21.37</v>
      </c>
      <c r="AV42" s="733">
        <v>21.37</v>
      </c>
      <c r="AW42" s="733">
        <v>1.36</v>
      </c>
      <c r="AX42" s="733">
        <v>1.32</v>
      </c>
      <c r="AY42" s="733">
        <v>20.74</v>
      </c>
      <c r="AZ42" s="733">
        <v>20.75</v>
      </c>
      <c r="BA42" s="733">
        <v>7.0000000000000007E-2</v>
      </c>
      <c r="BB42" s="733">
        <v>7.0000000000000007E-2</v>
      </c>
      <c r="BC42" s="733">
        <v>57.21</v>
      </c>
      <c r="BD42" s="733">
        <v>56.57</v>
      </c>
      <c r="BE42" s="733">
        <v>9.1300000000000008</v>
      </c>
      <c r="BF42" s="733">
        <v>9.0299999999999994</v>
      </c>
      <c r="BG42" s="733">
        <v>0.57999999999999996</v>
      </c>
      <c r="BH42" s="733">
        <v>0.57999999999999996</v>
      </c>
      <c r="BI42" s="935" t="s">
        <v>1211</v>
      </c>
      <c r="BJ42" s="733">
        <v>81.66</v>
      </c>
      <c r="BK42" s="733">
        <v>80.239999999999995</v>
      </c>
      <c r="BL42" s="733">
        <v>0.36</v>
      </c>
      <c r="BM42" s="733">
        <v>0.36</v>
      </c>
      <c r="BN42" s="733">
        <v>108.66</v>
      </c>
      <c r="BO42" s="733">
        <v>108.48</v>
      </c>
      <c r="BP42" s="733">
        <v>2.27</v>
      </c>
      <c r="BQ42" s="733">
        <v>2.21</v>
      </c>
      <c r="BR42" s="733">
        <v>21.18</v>
      </c>
      <c r="BS42" s="733">
        <v>21.18</v>
      </c>
      <c r="BT42" s="733">
        <v>77.8</v>
      </c>
      <c r="BU42" s="733">
        <v>77.8</v>
      </c>
      <c r="BV42" s="733">
        <v>121.07</v>
      </c>
      <c r="BW42" s="733">
        <v>121.34</v>
      </c>
    </row>
    <row r="43" spans="1:75" s="483" customFormat="1" ht="9.75" customHeight="1">
      <c r="A43" s="944" t="s">
        <v>1212</v>
      </c>
      <c r="B43" s="1231">
        <v>56.86</v>
      </c>
      <c r="C43" s="1231">
        <v>55.79</v>
      </c>
      <c r="D43" s="1231">
        <v>77.8</v>
      </c>
      <c r="E43" s="1231">
        <v>77.8</v>
      </c>
      <c r="F43" s="1231">
        <v>206.21</v>
      </c>
      <c r="G43" s="1231">
        <v>206.15</v>
      </c>
      <c r="H43" s="1231">
        <v>59.21</v>
      </c>
      <c r="I43" s="1231">
        <v>58.89</v>
      </c>
      <c r="J43" s="1231">
        <v>12.35</v>
      </c>
      <c r="K43" s="1231">
        <v>12.18</v>
      </c>
      <c r="L43" s="1231">
        <v>11.61</v>
      </c>
      <c r="M43" s="1231">
        <v>11.67</v>
      </c>
      <c r="N43" s="1231">
        <v>86.61</v>
      </c>
      <c r="O43" s="1231">
        <v>87.04</v>
      </c>
      <c r="P43" s="944" t="s">
        <v>1212</v>
      </c>
      <c r="Q43" s="1231">
        <v>10.029999999999999</v>
      </c>
      <c r="R43" s="1231">
        <v>10.039999999999999</v>
      </c>
      <c r="S43" s="1231">
        <v>1.2</v>
      </c>
      <c r="T43" s="1231">
        <v>1.18</v>
      </c>
      <c r="U43" s="1231">
        <v>0.01</v>
      </c>
      <c r="V43" s="1231">
        <v>0.01</v>
      </c>
      <c r="W43" s="1231">
        <v>0</v>
      </c>
      <c r="X43" s="1231">
        <v>0</v>
      </c>
      <c r="Y43" s="1231">
        <v>0.63</v>
      </c>
      <c r="Z43" s="1231">
        <v>0.64</v>
      </c>
      <c r="AA43" s="1231">
        <v>257.2</v>
      </c>
      <c r="AB43" s="1231">
        <v>257.66000000000003</v>
      </c>
      <c r="AC43" s="1231">
        <v>19.190000000000001</v>
      </c>
      <c r="AD43" s="1231">
        <v>18.55</v>
      </c>
      <c r="AE43" s="944" t="s">
        <v>1212</v>
      </c>
      <c r="AF43" s="1231">
        <v>0.06</v>
      </c>
      <c r="AG43" s="1231">
        <v>0.06</v>
      </c>
      <c r="AH43" s="1231">
        <v>0.75</v>
      </c>
      <c r="AI43" s="1231">
        <v>0.74</v>
      </c>
      <c r="AJ43" s="1231">
        <v>51.05</v>
      </c>
      <c r="AK43" s="1231">
        <v>50.31</v>
      </c>
      <c r="AL43" s="1231">
        <v>9.44</v>
      </c>
      <c r="AM43" s="1231">
        <v>9.39</v>
      </c>
      <c r="AN43" s="1231">
        <v>202.02</v>
      </c>
      <c r="AO43" s="1231">
        <v>202.03</v>
      </c>
      <c r="AP43" s="1231">
        <v>0.76</v>
      </c>
      <c r="AQ43" s="1231">
        <v>0.75</v>
      </c>
      <c r="AR43" s="1231">
        <v>1.68</v>
      </c>
      <c r="AS43" s="1231">
        <v>1.66</v>
      </c>
      <c r="AT43" s="944" t="s">
        <v>1212</v>
      </c>
      <c r="AU43" s="1231">
        <v>21.36</v>
      </c>
      <c r="AV43" s="1231">
        <v>21.36</v>
      </c>
      <c r="AW43" s="1231">
        <v>1.19</v>
      </c>
      <c r="AX43" s="1231">
        <v>1.19</v>
      </c>
      <c r="AY43" s="1231">
        <v>20.74</v>
      </c>
      <c r="AZ43" s="1231">
        <v>20.74</v>
      </c>
      <c r="BA43" s="1231">
        <v>7.0000000000000007E-2</v>
      </c>
      <c r="BB43" s="1231">
        <v>7.0000000000000007E-2</v>
      </c>
      <c r="BC43" s="1231">
        <v>55.72</v>
      </c>
      <c r="BD43" s="1231">
        <v>55.23</v>
      </c>
      <c r="BE43" s="1231">
        <v>9.1</v>
      </c>
      <c r="BF43" s="1231">
        <v>9.23</v>
      </c>
      <c r="BG43" s="1231">
        <v>0.57999999999999996</v>
      </c>
      <c r="BH43" s="1231">
        <v>0.57999999999999996</v>
      </c>
      <c r="BI43" s="944" t="s">
        <v>1212</v>
      </c>
      <c r="BJ43" s="1231">
        <v>80.37</v>
      </c>
      <c r="BK43" s="1231">
        <v>80.84</v>
      </c>
      <c r="BL43" s="1231">
        <v>0.35</v>
      </c>
      <c r="BM43" s="1231">
        <v>0.35</v>
      </c>
      <c r="BN43" s="1231">
        <v>109.07</v>
      </c>
      <c r="BO43" s="1231">
        <v>109.55</v>
      </c>
      <c r="BP43" s="1231">
        <v>2.2000000000000002</v>
      </c>
      <c r="BQ43" s="1231">
        <v>2.17</v>
      </c>
      <c r="BR43" s="1231">
        <v>21.18</v>
      </c>
      <c r="BS43" s="1231">
        <v>21.18</v>
      </c>
      <c r="BT43" s="1231">
        <v>77.8</v>
      </c>
      <c r="BU43" s="1231">
        <v>77.8</v>
      </c>
      <c r="BV43" s="1231">
        <v>121.29</v>
      </c>
      <c r="BW43" s="1231">
        <v>119.79</v>
      </c>
    </row>
    <row r="44" spans="1:75" s="483" customFormat="1" ht="11.85" customHeight="1">
      <c r="A44" s="935" t="s">
        <v>1206</v>
      </c>
      <c r="B44" s="733">
        <v>54.92</v>
      </c>
      <c r="C44" s="733">
        <v>54.39</v>
      </c>
      <c r="D44" s="733">
        <v>77.8</v>
      </c>
      <c r="E44" s="733">
        <v>77.8</v>
      </c>
      <c r="F44" s="733">
        <v>206.23</v>
      </c>
      <c r="G44" s="733">
        <v>206.07</v>
      </c>
      <c r="H44" s="733">
        <v>58.68</v>
      </c>
      <c r="I44" s="733">
        <v>57.98</v>
      </c>
      <c r="J44" s="733">
        <v>12.22</v>
      </c>
      <c r="K44" s="733">
        <v>12.23</v>
      </c>
      <c r="L44" s="733">
        <v>11.72</v>
      </c>
      <c r="M44" s="733">
        <v>11.73</v>
      </c>
      <c r="N44" s="733">
        <v>87.44</v>
      </c>
      <c r="O44" s="733">
        <v>87.52</v>
      </c>
      <c r="P44" s="935" t="s">
        <v>1206</v>
      </c>
      <c r="Q44" s="733">
        <v>10.039999999999999</v>
      </c>
      <c r="R44" s="733">
        <v>10.039999999999999</v>
      </c>
      <c r="S44" s="733">
        <v>1.17</v>
      </c>
      <c r="T44" s="733">
        <v>1.18</v>
      </c>
      <c r="U44" s="733">
        <v>0.01</v>
      </c>
      <c r="V44" s="733">
        <v>0.01</v>
      </c>
      <c r="W44" s="733">
        <v>0</v>
      </c>
      <c r="X44" s="733">
        <v>0</v>
      </c>
      <c r="Y44" s="733">
        <v>0.65</v>
      </c>
      <c r="Z44" s="733">
        <v>0.65</v>
      </c>
      <c r="AA44" s="733">
        <v>257.52999999999997</v>
      </c>
      <c r="AB44" s="733">
        <v>257.52999999999997</v>
      </c>
      <c r="AC44" s="733">
        <v>18.07</v>
      </c>
      <c r="AD44" s="733">
        <v>17.48</v>
      </c>
      <c r="AE44" s="935" t="s">
        <v>1206</v>
      </c>
      <c r="AF44" s="733">
        <v>0.06</v>
      </c>
      <c r="AG44" s="733">
        <v>0.06</v>
      </c>
      <c r="AH44" s="733">
        <v>0.73</v>
      </c>
      <c r="AI44" s="733">
        <v>0.73</v>
      </c>
      <c r="AJ44" s="733">
        <v>49.31</v>
      </c>
      <c r="AK44" s="733">
        <v>49.42</v>
      </c>
      <c r="AL44" s="733">
        <v>9.4</v>
      </c>
      <c r="AM44" s="733">
        <v>9.18</v>
      </c>
      <c r="AN44" s="733">
        <v>202.07</v>
      </c>
      <c r="AO44" s="733">
        <v>202.08</v>
      </c>
      <c r="AP44" s="733">
        <v>0.75</v>
      </c>
      <c r="AQ44" s="733">
        <v>0.75</v>
      </c>
      <c r="AR44" s="733">
        <v>1.66</v>
      </c>
      <c r="AS44" s="733">
        <v>1.66</v>
      </c>
      <c r="AT44" s="935" t="s">
        <v>1206</v>
      </c>
      <c r="AU44" s="733">
        <v>21.37</v>
      </c>
      <c r="AV44" s="733">
        <v>21.36</v>
      </c>
      <c r="AW44" s="733">
        <v>1.17</v>
      </c>
      <c r="AX44" s="733">
        <v>1.18</v>
      </c>
      <c r="AY44" s="733">
        <v>20.75</v>
      </c>
      <c r="AZ44" s="733">
        <v>20.74</v>
      </c>
      <c r="BA44" s="733">
        <v>7.0000000000000007E-2</v>
      </c>
      <c r="BB44" s="733">
        <v>7.0000000000000007E-2</v>
      </c>
      <c r="BC44" s="733">
        <v>54.97</v>
      </c>
      <c r="BD44" s="733">
        <v>54.48</v>
      </c>
      <c r="BE44" s="733">
        <v>9.31</v>
      </c>
      <c r="BF44" s="733">
        <v>9.2799999999999994</v>
      </c>
      <c r="BG44" s="733">
        <v>0.56000000000000005</v>
      </c>
      <c r="BH44" s="733">
        <v>0.55000000000000004</v>
      </c>
      <c r="BI44" s="935" t="s">
        <v>1206</v>
      </c>
      <c r="BJ44" s="733">
        <v>80.05</v>
      </c>
      <c r="BK44" s="733">
        <v>80.010000000000005</v>
      </c>
      <c r="BL44" s="733">
        <v>0.35</v>
      </c>
      <c r="BM44" s="733">
        <v>0.35</v>
      </c>
      <c r="BN44" s="733">
        <v>109.41</v>
      </c>
      <c r="BO44" s="733">
        <v>109.29</v>
      </c>
      <c r="BP44" s="733">
        <v>2.16</v>
      </c>
      <c r="BQ44" s="733">
        <v>2.14</v>
      </c>
      <c r="BR44" s="733">
        <v>21.18</v>
      </c>
      <c r="BS44" s="733">
        <v>21.18</v>
      </c>
      <c r="BT44" s="733">
        <v>77.8</v>
      </c>
      <c r="BU44" s="733">
        <v>77.8</v>
      </c>
      <c r="BV44" s="733">
        <v>119.37</v>
      </c>
      <c r="BW44" s="733">
        <v>117.88</v>
      </c>
    </row>
    <row r="45" spans="1:75" s="483" customFormat="1" ht="11.85" customHeight="1">
      <c r="A45" s="944" t="s">
        <v>1213</v>
      </c>
      <c r="B45" s="701">
        <v>56.04</v>
      </c>
      <c r="C45" s="701">
        <v>55.62</v>
      </c>
      <c r="D45" s="701">
        <v>77.819999999999993</v>
      </c>
      <c r="E45" s="701">
        <v>77.959999999999994</v>
      </c>
      <c r="F45" s="701">
        <v>206.33</v>
      </c>
      <c r="G45" s="701">
        <v>206.75</v>
      </c>
      <c r="H45" s="701">
        <v>59.52</v>
      </c>
      <c r="I45" s="701">
        <v>59.61</v>
      </c>
      <c r="J45" s="701">
        <v>12.25</v>
      </c>
      <c r="K45" s="701">
        <v>12.28</v>
      </c>
      <c r="L45" s="701">
        <v>11.7</v>
      </c>
      <c r="M45" s="701">
        <v>11.49</v>
      </c>
      <c r="N45" s="701">
        <v>87.31</v>
      </c>
      <c r="O45" s="701">
        <v>85.73</v>
      </c>
      <c r="P45" s="944" t="s">
        <v>1213</v>
      </c>
      <c r="Q45" s="701">
        <v>10.039999999999999</v>
      </c>
      <c r="R45" s="701">
        <v>10.06</v>
      </c>
      <c r="S45" s="701">
        <v>1.2</v>
      </c>
      <c r="T45" s="701">
        <v>1.19</v>
      </c>
      <c r="U45" s="701">
        <v>0.01</v>
      </c>
      <c r="V45" s="701">
        <v>0.01</v>
      </c>
      <c r="W45" s="701">
        <v>0</v>
      </c>
      <c r="X45" s="701">
        <v>0</v>
      </c>
      <c r="Y45" s="701">
        <v>0.65</v>
      </c>
      <c r="Z45" s="701">
        <v>0.65</v>
      </c>
      <c r="AA45" s="701">
        <v>257.52999999999997</v>
      </c>
      <c r="AB45" s="701">
        <v>257.07</v>
      </c>
      <c r="AC45" s="701">
        <v>18.260000000000002</v>
      </c>
      <c r="AD45" s="701">
        <v>18.149999999999999</v>
      </c>
      <c r="AE45" s="944" t="s">
        <v>1213</v>
      </c>
      <c r="AF45" s="701">
        <v>0.06</v>
      </c>
      <c r="AG45" s="701">
        <v>0.06</v>
      </c>
      <c r="AH45" s="701">
        <v>0.75</v>
      </c>
      <c r="AI45" s="701">
        <v>0.75</v>
      </c>
      <c r="AJ45" s="701">
        <v>51.97</v>
      </c>
      <c r="AK45" s="701">
        <v>52.77</v>
      </c>
      <c r="AL45" s="701">
        <v>9.41</v>
      </c>
      <c r="AM45" s="701">
        <v>9.18</v>
      </c>
      <c r="AN45" s="701">
        <v>202.12</v>
      </c>
      <c r="AO45" s="701">
        <v>202.48</v>
      </c>
      <c r="AP45" s="701">
        <v>0.74</v>
      </c>
      <c r="AQ45" s="701">
        <v>0.74</v>
      </c>
      <c r="AR45" s="701">
        <v>1.68</v>
      </c>
      <c r="AS45" s="701">
        <v>1.67</v>
      </c>
      <c r="AT45" s="944" t="s">
        <v>1213</v>
      </c>
      <c r="AU45" s="701">
        <v>21.37</v>
      </c>
      <c r="AV45" s="701">
        <v>21.41</v>
      </c>
      <c r="AW45" s="701">
        <v>1.23</v>
      </c>
      <c r="AX45" s="701">
        <v>1.22</v>
      </c>
      <c r="AY45" s="701">
        <v>20.76</v>
      </c>
      <c r="AZ45" s="701">
        <v>20.79</v>
      </c>
      <c r="BA45" s="701">
        <v>7.0000000000000007E-2</v>
      </c>
      <c r="BB45" s="701">
        <v>7.0000000000000007E-2</v>
      </c>
      <c r="BC45" s="701">
        <v>55.51</v>
      </c>
      <c r="BD45" s="701">
        <v>55.65</v>
      </c>
      <c r="BE45" s="701">
        <v>9.34</v>
      </c>
      <c r="BF45" s="701">
        <v>9.1300000000000008</v>
      </c>
      <c r="BG45" s="701">
        <v>0.55000000000000004</v>
      </c>
      <c r="BH45" s="701">
        <v>0.55000000000000004</v>
      </c>
      <c r="BI45" s="944" t="s">
        <v>1213</v>
      </c>
      <c r="BJ45" s="701">
        <v>80.290000000000006</v>
      </c>
      <c r="BK45" s="701">
        <v>78.92</v>
      </c>
      <c r="BL45" s="701">
        <v>0.35</v>
      </c>
      <c r="BM45" s="701">
        <v>0.35</v>
      </c>
      <c r="BN45" s="701">
        <v>109.43</v>
      </c>
      <c r="BO45" s="701">
        <v>108.89</v>
      </c>
      <c r="BP45" s="701">
        <v>2.1800000000000002</v>
      </c>
      <c r="BQ45" s="701">
        <v>2.19</v>
      </c>
      <c r="BR45" s="701">
        <v>21.19</v>
      </c>
      <c r="BS45" s="701">
        <v>21.23</v>
      </c>
      <c r="BT45" s="701">
        <v>77.819999999999993</v>
      </c>
      <c r="BU45" s="701">
        <v>77.959999999999994</v>
      </c>
      <c r="BV45" s="701">
        <v>119.23</v>
      </c>
      <c r="BW45" s="701">
        <v>120.19</v>
      </c>
    </row>
    <row r="46" spans="1:75" s="483" customFormat="1" ht="10.5" customHeight="1">
      <c r="A46" s="935" t="s">
        <v>1214</v>
      </c>
      <c r="B46" s="733">
        <v>56.11</v>
      </c>
      <c r="C46" s="733">
        <v>56.8</v>
      </c>
      <c r="D46" s="733">
        <v>78.53</v>
      </c>
      <c r="E46" s="733">
        <v>78.930000000000007</v>
      </c>
      <c r="F46" s="733">
        <v>208.25</v>
      </c>
      <c r="G46" s="733">
        <v>209.45</v>
      </c>
      <c r="H46" s="733">
        <v>59.17</v>
      </c>
      <c r="I46" s="733">
        <v>59.05</v>
      </c>
      <c r="J46" s="733">
        <v>12.33</v>
      </c>
      <c r="K46" s="733">
        <v>12.34</v>
      </c>
      <c r="L46" s="733">
        <v>11.3</v>
      </c>
      <c r="M46" s="733">
        <v>11.21</v>
      </c>
      <c r="N46" s="733">
        <v>84.29</v>
      </c>
      <c r="O46" s="733">
        <v>83.65</v>
      </c>
      <c r="P46" s="935" t="s">
        <v>1214</v>
      </c>
      <c r="Q46" s="733">
        <v>10.130000000000001</v>
      </c>
      <c r="R46" s="733">
        <v>10.18</v>
      </c>
      <c r="S46" s="733">
        <v>1.19</v>
      </c>
      <c r="T46" s="733">
        <v>1.18</v>
      </c>
      <c r="U46" s="733">
        <v>0.01</v>
      </c>
      <c r="V46" s="733">
        <v>0.01</v>
      </c>
      <c r="W46" s="733">
        <v>0</v>
      </c>
      <c r="X46" s="733">
        <v>0</v>
      </c>
      <c r="Y46" s="733">
        <v>0.64</v>
      </c>
      <c r="Z46" s="733">
        <v>0.64</v>
      </c>
      <c r="AA46" s="733">
        <v>258.45</v>
      </c>
      <c r="AB46" s="733">
        <v>259</v>
      </c>
      <c r="AC46" s="733">
        <v>18.2</v>
      </c>
      <c r="AD46" s="733">
        <v>18.52</v>
      </c>
      <c r="AE46" s="935" t="s">
        <v>1214</v>
      </c>
      <c r="AF46" s="733">
        <v>0.06</v>
      </c>
      <c r="AG46" s="733">
        <v>0.06</v>
      </c>
      <c r="AH46" s="733">
        <v>0.74</v>
      </c>
      <c r="AI46" s="733">
        <v>0.74</v>
      </c>
      <c r="AJ46" s="733">
        <v>51.52</v>
      </c>
      <c r="AK46" s="733">
        <v>51.58</v>
      </c>
      <c r="AL46" s="733">
        <v>9.09</v>
      </c>
      <c r="AM46" s="733">
        <v>9.07</v>
      </c>
      <c r="AN46" s="733">
        <v>203.96</v>
      </c>
      <c r="AO46" s="733">
        <v>205.01</v>
      </c>
      <c r="AP46" s="733">
        <v>0.74</v>
      </c>
      <c r="AQ46" s="733">
        <v>0.75</v>
      </c>
      <c r="AR46" s="733">
        <v>1.67</v>
      </c>
      <c r="AS46" s="733">
        <v>1.67</v>
      </c>
      <c r="AT46" s="935" t="s">
        <v>1214</v>
      </c>
      <c r="AU46" s="733">
        <v>21.57</v>
      </c>
      <c r="AV46" s="733">
        <v>21.68</v>
      </c>
      <c r="AW46" s="733">
        <v>1.21</v>
      </c>
      <c r="AX46" s="733">
        <v>1.19</v>
      </c>
      <c r="AY46" s="733">
        <v>20.93</v>
      </c>
      <c r="AZ46" s="733">
        <v>21.03</v>
      </c>
      <c r="BA46" s="733">
        <v>7.0000000000000007E-2</v>
      </c>
      <c r="BB46" s="733">
        <v>7.0000000000000007E-2</v>
      </c>
      <c r="BC46" s="733">
        <v>55.54</v>
      </c>
      <c r="BD46" s="733">
        <v>55.84</v>
      </c>
      <c r="BE46" s="733">
        <v>9.0500000000000007</v>
      </c>
      <c r="BF46" s="733">
        <v>9.0299999999999994</v>
      </c>
      <c r="BG46" s="733">
        <v>0.55000000000000004</v>
      </c>
      <c r="BH46" s="733">
        <v>0.55000000000000004</v>
      </c>
      <c r="BI46" s="935" t="s">
        <v>1214</v>
      </c>
      <c r="BJ46" s="733">
        <v>77.790000000000006</v>
      </c>
      <c r="BK46" s="733">
        <v>76.650000000000006</v>
      </c>
      <c r="BL46" s="733">
        <v>0.36</v>
      </c>
      <c r="BM46" s="733">
        <v>0.36</v>
      </c>
      <c r="BN46" s="733">
        <v>108.56</v>
      </c>
      <c r="BO46" s="733">
        <v>108.42</v>
      </c>
      <c r="BP46" s="733">
        <v>2.19</v>
      </c>
      <c r="BQ46" s="733">
        <v>2.2000000000000002</v>
      </c>
      <c r="BR46" s="733">
        <v>21.38</v>
      </c>
      <c r="BS46" s="733">
        <v>21.49</v>
      </c>
      <c r="BT46" s="733">
        <v>78.53</v>
      </c>
      <c r="BU46" s="733">
        <v>78.930000000000007</v>
      </c>
      <c r="BV46" s="733">
        <v>119.31</v>
      </c>
      <c r="BW46" s="733">
        <v>118.71</v>
      </c>
    </row>
    <row r="47" spans="1:75" s="483" customFormat="1" ht="10.5" customHeight="1">
      <c r="A47" s="944" t="s">
        <v>1207</v>
      </c>
      <c r="B47" s="701">
        <v>57.08</v>
      </c>
      <c r="C47" s="701">
        <v>57.22</v>
      </c>
      <c r="D47" s="701">
        <v>78.78</v>
      </c>
      <c r="E47" s="701">
        <v>78.510000000000005</v>
      </c>
      <c r="F47" s="701">
        <v>208.96</v>
      </c>
      <c r="G47" s="701">
        <v>208.61</v>
      </c>
      <c r="H47" s="701">
        <v>57.53</v>
      </c>
      <c r="I47" s="701">
        <v>56.52</v>
      </c>
      <c r="J47" s="701">
        <v>12.22</v>
      </c>
      <c r="K47" s="701">
        <v>12.09</v>
      </c>
      <c r="L47" s="701">
        <v>11.5</v>
      </c>
      <c r="M47" s="701">
        <v>11.5</v>
      </c>
      <c r="N47" s="701">
        <v>85.8</v>
      </c>
      <c r="O47" s="701">
        <v>85.83</v>
      </c>
      <c r="P47" s="944" t="s">
        <v>1207</v>
      </c>
      <c r="Q47" s="701">
        <v>10.16</v>
      </c>
      <c r="R47" s="701">
        <v>10.130000000000001</v>
      </c>
      <c r="S47" s="701">
        <v>1.18</v>
      </c>
      <c r="T47" s="701">
        <v>1.18</v>
      </c>
      <c r="U47" s="701">
        <v>0.01</v>
      </c>
      <c r="V47" s="701">
        <v>0.01</v>
      </c>
      <c r="W47" s="701">
        <v>0</v>
      </c>
      <c r="X47" s="701">
        <v>0</v>
      </c>
      <c r="Y47" s="701">
        <v>0.65</v>
      </c>
      <c r="Z47" s="701">
        <v>0.65</v>
      </c>
      <c r="AA47" s="701">
        <v>259.41000000000003</v>
      </c>
      <c r="AB47" s="701">
        <v>258.60000000000002</v>
      </c>
      <c r="AC47" s="701">
        <v>18.399999999999999</v>
      </c>
      <c r="AD47" s="701">
        <v>18.28</v>
      </c>
      <c r="AE47" s="944" t="s">
        <v>1207</v>
      </c>
      <c r="AF47" s="701">
        <v>0.06</v>
      </c>
      <c r="AG47" s="701">
        <v>0.06</v>
      </c>
      <c r="AH47" s="701">
        <v>0.74</v>
      </c>
      <c r="AI47" s="701">
        <v>0.74</v>
      </c>
      <c r="AJ47" s="701">
        <v>53.15</v>
      </c>
      <c r="AK47" s="701">
        <v>53.76</v>
      </c>
      <c r="AL47" s="701">
        <v>9.07</v>
      </c>
      <c r="AM47" s="701">
        <v>8.93</v>
      </c>
      <c r="AN47" s="701">
        <v>204.72</v>
      </c>
      <c r="AO47" s="701">
        <v>203.92</v>
      </c>
      <c r="AP47" s="701">
        <v>0.75</v>
      </c>
      <c r="AQ47" s="701">
        <v>0.75</v>
      </c>
      <c r="AR47" s="701">
        <v>1.67</v>
      </c>
      <c r="AS47" s="701">
        <v>1.67</v>
      </c>
      <c r="AT47" s="944" t="s">
        <v>1207</v>
      </c>
      <c r="AU47" s="701">
        <v>21.64</v>
      </c>
      <c r="AV47" s="701">
        <v>21.56</v>
      </c>
      <c r="AW47" s="701">
        <v>1.1299999999999999</v>
      </c>
      <c r="AX47" s="701">
        <v>1.07</v>
      </c>
      <c r="AY47" s="701">
        <v>20.99</v>
      </c>
      <c r="AZ47" s="701">
        <v>20.92</v>
      </c>
      <c r="BA47" s="701">
        <v>7.0000000000000007E-2</v>
      </c>
      <c r="BB47" s="701">
        <v>7.0000000000000007E-2</v>
      </c>
      <c r="BC47" s="701">
        <v>55.97</v>
      </c>
      <c r="BD47" s="701">
        <v>55.51</v>
      </c>
      <c r="BE47" s="701">
        <v>9.27</v>
      </c>
      <c r="BF47" s="701">
        <v>9.33</v>
      </c>
      <c r="BG47" s="701">
        <v>0.55000000000000004</v>
      </c>
      <c r="BH47" s="701">
        <v>0.54</v>
      </c>
      <c r="BI47" s="944" t="s">
        <v>1207</v>
      </c>
      <c r="BJ47" s="701">
        <v>79.25</v>
      </c>
      <c r="BK47" s="701">
        <v>79.53</v>
      </c>
      <c r="BL47" s="701">
        <v>0.36</v>
      </c>
      <c r="BM47" s="701">
        <v>0.36</v>
      </c>
      <c r="BN47" s="701">
        <v>109.16</v>
      </c>
      <c r="BO47" s="701">
        <v>108.88</v>
      </c>
      <c r="BP47" s="701">
        <v>2.19</v>
      </c>
      <c r="BQ47" s="701">
        <v>2.1800000000000002</v>
      </c>
      <c r="BR47" s="701">
        <v>21.45</v>
      </c>
      <c r="BS47" s="701">
        <v>21.38</v>
      </c>
      <c r="BT47" s="701">
        <v>78.78</v>
      </c>
      <c r="BU47" s="701">
        <v>78.510000000000005</v>
      </c>
      <c r="BV47" s="701">
        <v>118.19</v>
      </c>
      <c r="BW47" s="701">
        <v>116.3</v>
      </c>
    </row>
    <row r="48" spans="1:75" s="483" customFormat="1" ht="9.75" customHeight="1">
      <c r="A48" s="935" t="s">
        <v>1215</v>
      </c>
      <c r="B48" s="733">
        <v>55.19</v>
      </c>
      <c r="C48" s="733">
        <v>55.57</v>
      </c>
      <c r="D48" s="733">
        <v>78.5</v>
      </c>
      <c r="E48" s="733">
        <v>78.5</v>
      </c>
      <c r="F48" s="733">
        <v>208.38</v>
      </c>
      <c r="G48" s="733">
        <v>208.42</v>
      </c>
      <c r="H48" s="733">
        <v>55.34</v>
      </c>
      <c r="I48" s="733">
        <v>56.1</v>
      </c>
      <c r="J48" s="733">
        <v>11.99</v>
      </c>
      <c r="K48" s="733">
        <v>11.98</v>
      </c>
      <c r="L48" s="733">
        <v>11.43</v>
      </c>
      <c r="M48" s="733">
        <v>11.4</v>
      </c>
      <c r="N48" s="733">
        <v>85.32</v>
      </c>
      <c r="O48" s="733">
        <v>85.06</v>
      </c>
      <c r="P48" s="935" t="s">
        <v>1215</v>
      </c>
      <c r="Q48" s="733">
        <v>10.09</v>
      </c>
      <c r="R48" s="733">
        <v>10.09</v>
      </c>
      <c r="S48" s="733">
        <v>1.17</v>
      </c>
      <c r="T48" s="733">
        <v>1.1599999999999999</v>
      </c>
      <c r="U48" s="733">
        <v>0.01</v>
      </c>
      <c r="V48" s="733">
        <v>0.01</v>
      </c>
      <c r="W48" s="733">
        <v>0</v>
      </c>
      <c r="X48" s="733">
        <v>0</v>
      </c>
      <c r="Y48" s="733">
        <v>0.66</v>
      </c>
      <c r="Z48" s="733">
        <v>0.65</v>
      </c>
      <c r="AA48" s="733">
        <v>258.23</v>
      </c>
      <c r="AB48" s="733">
        <v>258.39</v>
      </c>
      <c r="AC48" s="733">
        <v>18.12</v>
      </c>
      <c r="AD48" s="733">
        <v>18.89</v>
      </c>
      <c r="AE48" s="935" t="s">
        <v>1215</v>
      </c>
      <c r="AF48" s="733">
        <v>0.06</v>
      </c>
      <c r="AG48" s="733">
        <v>0.06</v>
      </c>
      <c r="AH48" s="733">
        <v>0.73</v>
      </c>
      <c r="AI48" s="733">
        <v>0.72</v>
      </c>
      <c r="AJ48" s="733">
        <v>51.51</v>
      </c>
      <c r="AK48" s="733">
        <v>50.84</v>
      </c>
      <c r="AL48" s="733">
        <v>8.9</v>
      </c>
      <c r="AM48" s="733">
        <v>9.0399999999999991</v>
      </c>
      <c r="AN48" s="733">
        <v>203.89</v>
      </c>
      <c r="AO48" s="733">
        <v>203.98</v>
      </c>
      <c r="AP48" s="733">
        <v>0.75</v>
      </c>
      <c r="AQ48" s="733">
        <v>0.75</v>
      </c>
      <c r="AR48" s="733">
        <v>1.65</v>
      </c>
      <c r="AS48" s="733">
        <v>1.65</v>
      </c>
      <c r="AT48" s="935" t="s">
        <v>1215</v>
      </c>
      <c r="AU48" s="733">
        <v>21.56</v>
      </c>
      <c r="AV48" s="733">
        <v>21.56</v>
      </c>
      <c r="AW48" s="733">
        <v>1.02</v>
      </c>
      <c r="AX48" s="733">
        <v>1.01</v>
      </c>
      <c r="AY48" s="733">
        <v>20.92</v>
      </c>
      <c r="AZ48" s="733">
        <v>20.93</v>
      </c>
      <c r="BA48" s="733">
        <v>7.0000000000000007E-2</v>
      </c>
      <c r="BB48" s="733">
        <v>0.06</v>
      </c>
      <c r="BC48" s="733">
        <v>54.83</v>
      </c>
      <c r="BD48" s="733">
        <v>55.12</v>
      </c>
      <c r="BE48" s="733">
        <v>9.1999999999999993</v>
      </c>
      <c r="BF48" s="733">
        <v>9.15</v>
      </c>
      <c r="BG48" s="733">
        <v>0.55000000000000004</v>
      </c>
      <c r="BH48" s="733">
        <v>0.54</v>
      </c>
      <c r="BI48" s="935" t="s">
        <v>1215</v>
      </c>
      <c r="BJ48" s="733">
        <v>78.010000000000005</v>
      </c>
      <c r="BK48" s="733">
        <v>76.709999999999994</v>
      </c>
      <c r="BL48" s="733">
        <v>0.36</v>
      </c>
      <c r="BM48" s="733">
        <v>0.36</v>
      </c>
      <c r="BN48" s="733">
        <v>108.54</v>
      </c>
      <c r="BO48" s="733">
        <v>108.37</v>
      </c>
      <c r="BP48" s="733">
        <v>2.17</v>
      </c>
      <c r="BQ48" s="733">
        <v>2.2000000000000002</v>
      </c>
      <c r="BR48" s="733">
        <v>21.37</v>
      </c>
      <c r="BS48" s="733">
        <v>21.37</v>
      </c>
      <c r="BT48" s="733">
        <v>78.5</v>
      </c>
      <c r="BU48" s="733">
        <v>78.5</v>
      </c>
      <c r="BV48" s="733">
        <v>113.23</v>
      </c>
      <c r="BW48" s="733">
        <v>111.83</v>
      </c>
    </row>
    <row r="49" spans="1:75" s="483" customFormat="1" ht="10.5" customHeight="1">
      <c r="A49" s="944" t="s">
        <v>1216</v>
      </c>
      <c r="B49" s="701">
        <v>56.04</v>
      </c>
      <c r="C49" s="701">
        <v>55.94</v>
      </c>
      <c r="D49" s="701">
        <v>78.55</v>
      </c>
      <c r="E49" s="701">
        <v>78.45</v>
      </c>
      <c r="F49" s="701">
        <v>208.35</v>
      </c>
      <c r="G49" s="701">
        <v>208.12</v>
      </c>
      <c r="H49" s="701">
        <v>56.92</v>
      </c>
      <c r="I49" s="701">
        <v>58.03</v>
      </c>
      <c r="J49" s="701">
        <v>12.03</v>
      </c>
      <c r="K49" s="701">
        <v>11.98</v>
      </c>
      <c r="L49" s="701">
        <v>11.69</v>
      </c>
      <c r="M49" s="701">
        <v>11.5</v>
      </c>
      <c r="N49" s="701">
        <v>87.24</v>
      </c>
      <c r="O49" s="701">
        <v>85.82</v>
      </c>
      <c r="P49" s="944" t="s">
        <v>1216</v>
      </c>
      <c r="Q49" s="701">
        <v>10.09</v>
      </c>
      <c r="R49" s="701">
        <v>10.09</v>
      </c>
      <c r="S49" s="701">
        <v>1.1499999999999999</v>
      </c>
      <c r="T49" s="701">
        <v>1.1399999999999999</v>
      </c>
      <c r="U49" s="701">
        <v>0.01</v>
      </c>
      <c r="V49" s="701">
        <v>0.01</v>
      </c>
      <c r="W49" s="701">
        <v>0</v>
      </c>
      <c r="X49" s="701">
        <v>0</v>
      </c>
      <c r="Y49" s="701">
        <v>0.68</v>
      </c>
      <c r="Z49" s="701">
        <v>0.68</v>
      </c>
      <c r="AA49" s="701">
        <v>261.77999999999997</v>
      </c>
      <c r="AB49" s="701">
        <v>260.93</v>
      </c>
      <c r="AC49" s="701">
        <v>18.77</v>
      </c>
      <c r="AD49" s="701">
        <v>18.59</v>
      </c>
      <c r="AE49" s="944" t="s">
        <v>1216</v>
      </c>
      <c r="AF49" s="701">
        <v>0.06</v>
      </c>
      <c r="AG49" s="701">
        <v>0.06</v>
      </c>
      <c r="AH49" s="701">
        <v>0.72</v>
      </c>
      <c r="AI49" s="701">
        <v>0.71</v>
      </c>
      <c r="AJ49" s="701">
        <v>52.11</v>
      </c>
      <c r="AK49" s="701">
        <v>52.01</v>
      </c>
      <c r="AL49" s="701">
        <v>9.1300000000000008</v>
      </c>
      <c r="AM49" s="701">
        <v>9.0399999999999991</v>
      </c>
      <c r="AN49" s="701">
        <v>203.99</v>
      </c>
      <c r="AO49" s="701">
        <v>203.76</v>
      </c>
      <c r="AP49" s="701">
        <v>0.75</v>
      </c>
      <c r="AQ49" s="701">
        <v>0.75</v>
      </c>
      <c r="AR49" s="701">
        <v>1.65</v>
      </c>
      <c r="AS49" s="701">
        <v>1.65</v>
      </c>
      <c r="AT49" s="944" t="s">
        <v>1216</v>
      </c>
      <c r="AU49" s="701">
        <v>21.57</v>
      </c>
      <c r="AV49" s="701">
        <v>21.54</v>
      </c>
      <c r="AW49" s="701">
        <v>1.02</v>
      </c>
      <c r="AX49" s="701">
        <v>1.03</v>
      </c>
      <c r="AY49" s="701">
        <v>20.94</v>
      </c>
      <c r="AZ49" s="701">
        <v>20.92</v>
      </c>
      <c r="BA49" s="701">
        <v>0.06</v>
      </c>
      <c r="BB49" s="701">
        <v>0.06</v>
      </c>
      <c r="BC49" s="701">
        <v>55.91</v>
      </c>
      <c r="BD49" s="701">
        <v>55.72</v>
      </c>
      <c r="BE49" s="701">
        <v>9.27</v>
      </c>
      <c r="BF49" s="701">
        <v>9.16</v>
      </c>
      <c r="BG49" s="701">
        <v>0.54</v>
      </c>
      <c r="BH49" s="701">
        <v>0.54</v>
      </c>
      <c r="BI49" s="944" t="s">
        <v>1216</v>
      </c>
      <c r="BJ49" s="701">
        <v>79.180000000000007</v>
      </c>
      <c r="BK49" s="701">
        <v>78.75</v>
      </c>
      <c r="BL49" s="701">
        <v>0.36</v>
      </c>
      <c r="BM49" s="701">
        <v>0.36</v>
      </c>
      <c r="BN49" s="701">
        <v>109.48</v>
      </c>
      <c r="BO49" s="701">
        <v>108.93</v>
      </c>
      <c r="BP49" s="701">
        <v>2.21</v>
      </c>
      <c r="BQ49" s="701">
        <v>2.19</v>
      </c>
      <c r="BR49" s="701">
        <v>21.39</v>
      </c>
      <c r="BS49" s="701">
        <v>21.36</v>
      </c>
      <c r="BT49" s="701">
        <v>78.55</v>
      </c>
      <c r="BU49" s="701">
        <v>78.45</v>
      </c>
      <c r="BV49" s="701">
        <v>112.52</v>
      </c>
      <c r="BW49" s="701">
        <v>108.83</v>
      </c>
    </row>
    <row r="50" spans="1:75" s="483" customFormat="1" ht="11.85" customHeight="1">
      <c r="A50" s="935" t="s">
        <v>1208</v>
      </c>
      <c r="B50" s="733">
        <v>58.74</v>
      </c>
      <c r="C50" s="733">
        <v>60.14</v>
      </c>
      <c r="D50" s="733">
        <v>78.41</v>
      </c>
      <c r="E50" s="733">
        <v>78.400000000000006</v>
      </c>
      <c r="F50" s="733">
        <v>207.98</v>
      </c>
      <c r="G50" s="733">
        <v>207.93</v>
      </c>
      <c r="H50" s="733">
        <v>59.27</v>
      </c>
      <c r="I50" s="733">
        <v>60.5</v>
      </c>
      <c r="J50" s="733">
        <v>12.05</v>
      </c>
      <c r="K50" s="733">
        <v>12.13</v>
      </c>
      <c r="L50" s="733">
        <v>11.7</v>
      </c>
      <c r="M50" s="733">
        <v>11.92</v>
      </c>
      <c r="N50" s="733">
        <v>87.24</v>
      </c>
      <c r="O50" s="733">
        <v>88.87</v>
      </c>
      <c r="P50" s="935" t="s">
        <v>1208</v>
      </c>
      <c r="Q50" s="733">
        <v>10.1</v>
      </c>
      <c r="R50" s="733">
        <v>10.11</v>
      </c>
      <c r="S50" s="733">
        <v>1.17</v>
      </c>
      <c r="T50" s="733">
        <v>1.18</v>
      </c>
      <c r="U50" s="733">
        <v>0.01</v>
      </c>
      <c r="V50" s="733">
        <v>0.01</v>
      </c>
      <c r="W50" s="733">
        <v>0</v>
      </c>
      <c r="X50" s="733">
        <v>0</v>
      </c>
      <c r="Y50" s="733">
        <v>0.69</v>
      </c>
      <c r="Z50" s="733">
        <v>0.7</v>
      </c>
      <c r="AA50" s="733">
        <v>260.41000000000003</v>
      </c>
      <c r="AB50" s="733">
        <v>259.60000000000002</v>
      </c>
      <c r="AC50" s="733">
        <v>19.239999999999998</v>
      </c>
      <c r="AD50" s="733">
        <v>20.02</v>
      </c>
      <c r="AE50" s="935" t="s">
        <v>1208</v>
      </c>
      <c r="AF50" s="733">
        <v>0.06</v>
      </c>
      <c r="AG50" s="733">
        <v>0.06</v>
      </c>
      <c r="AH50" s="733">
        <v>0.73</v>
      </c>
      <c r="AI50" s="733">
        <v>0.74</v>
      </c>
      <c r="AJ50" s="733">
        <v>52.8</v>
      </c>
      <c r="AK50" s="733">
        <v>54.33</v>
      </c>
      <c r="AL50" s="733">
        <v>9.25</v>
      </c>
      <c r="AM50" s="733">
        <v>9.44</v>
      </c>
      <c r="AN50" s="733">
        <v>203.68</v>
      </c>
      <c r="AO50" s="733">
        <v>203.64</v>
      </c>
      <c r="AP50" s="733">
        <v>0.75</v>
      </c>
      <c r="AQ50" s="733">
        <v>0.75</v>
      </c>
      <c r="AR50" s="733">
        <v>1.68</v>
      </c>
      <c r="AS50" s="733">
        <v>1.7</v>
      </c>
      <c r="AT50" s="935" t="s">
        <v>1208</v>
      </c>
      <c r="AU50" s="733">
        <v>21.53</v>
      </c>
      <c r="AV50" s="733">
        <v>21.53</v>
      </c>
      <c r="AW50" s="733">
        <v>1.1100000000000001</v>
      </c>
      <c r="AX50" s="733">
        <v>1.1499999999999999</v>
      </c>
      <c r="AY50" s="733">
        <v>20.91</v>
      </c>
      <c r="AZ50" s="733">
        <v>20.9</v>
      </c>
      <c r="BA50" s="733">
        <v>7.0000000000000007E-2</v>
      </c>
      <c r="BB50" s="733">
        <v>7.0000000000000007E-2</v>
      </c>
      <c r="BC50" s="733">
        <v>57.1</v>
      </c>
      <c r="BD50" s="733">
        <v>58.06</v>
      </c>
      <c r="BE50" s="733">
        <v>9.39</v>
      </c>
      <c r="BF50" s="733">
        <v>9.6199999999999992</v>
      </c>
      <c r="BG50" s="733">
        <v>0.54</v>
      </c>
      <c r="BH50" s="733">
        <v>0.53</v>
      </c>
      <c r="BI50" s="935" t="s">
        <v>1208</v>
      </c>
      <c r="BJ50" s="733">
        <v>79.83</v>
      </c>
      <c r="BK50" s="733">
        <v>81.25</v>
      </c>
      <c r="BL50" s="733">
        <v>0.36</v>
      </c>
      <c r="BM50" s="733">
        <v>0.36</v>
      </c>
      <c r="BN50" s="733">
        <v>109.27</v>
      </c>
      <c r="BO50" s="733">
        <v>110.28</v>
      </c>
      <c r="BP50" s="733">
        <v>2.2200000000000002</v>
      </c>
      <c r="BQ50" s="733">
        <v>2.2200000000000002</v>
      </c>
      <c r="BR50" s="733">
        <v>21.35</v>
      </c>
      <c r="BS50" s="733">
        <v>21.35</v>
      </c>
      <c r="BT50" s="733">
        <v>78.41</v>
      </c>
      <c r="BU50" s="733">
        <v>78.400000000000006</v>
      </c>
      <c r="BV50" s="733">
        <v>111.71</v>
      </c>
      <c r="BW50" s="733">
        <v>112.72</v>
      </c>
    </row>
    <row r="51" spans="1:75" s="483" customFormat="1" ht="11.85" customHeight="1">
      <c r="A51" s="944" t="s">
        <v>1217</v>
      </c>
      <c r="B51" s="701">
        <v>60.07</v>
      </c>
      <c r="C51" s="701">
        <v>59.63</v>
      </c>
      <c r="D51" s="701">
        <v>78.400000000000006</v>
      </c>
      <c r="E51" s="701">
        <v>78.400000000000006</v>
      </c>
      <c r="F51" s="701">
        <v>207.95</v>
      </c>
      <c r="G51" s="701">
        <v>207.96</v>
      </c>
      <c r="H51" s="701">
        <v>61.12</v>
      </c>
      <c r="I51" s="701">
        <v>62.51</v>
      </c>
      <c r="J51" s="701">
        <v>12.11</v>
      </c>
      <c r="K51" s="701">
        <v>12.14</v>
      </c>
      <c r="L51" s="701">
        <v>11.94</v>
      </c>
      <c r="M51" s="701">
        <v>12.06</v>
      </c>
      <c r="N51" s="701">
        <v>88.89</v>
      </c>
      <c r="O51" s="701">
        <v>89.78</v>
      </c>
      <c r="P51" s="944" t="s">
        <v>1217</v>
      </c>
      <c r="Q51" s="701">
        <v>10.11</v>
      </c>
      <c r="R51" s="701">
        <v>10.11</v>
      </c>
      <c r="S51" s="701">
        <v>1.18</v>
      </c>
      <c r="T51" s="701">
        <v>1.18</v>
      </c>
      <c r="U51" s="701">
        <v>0.01</v>
      </c>
      <c r="V51" s="701">
        <v>0.01</v>
      </c>
      <c r="W51" s="701">
        <v>0</v>
      </c>
      <c r="X51" s="701">
        <v>0</v>
      </c>
      <c r="Y51" s="701">
        <v>0.71</v>
      </c>
      <c r="Z51" s="701">
        <v>0.74</v>
      </c>
      <c r="AA51" s="701">
        <v>259.92</v>
      </c>
      <c r="AB51" s="701">
        <v>260.51</v>
      </c>
      <c r="AC51" s="701">
        <v>20.09</v>
      </c>
      <c r="AD51" s="701">
        <v>20.07</v>
      </c>
      <c r="AE51" s="944" t="s">
        <v>1217</v>
      </c>
      <c r="AF51" s="701">
        <v>7.0000000000000007E-2</v>
      </c>
      <c r="AG51" s="701">
        <v>7.0000000000000007E-2</v>
      </c>
      <c r="AH51" s="701">
        <v>0.74</v>
      </c>
      <c r="AI51" s="701">
        <v>0.73</v>
      </c>
      <c r="AJ51" s="701">
        <v>53.99</v>
      </c>
      <c r="AK51" s="701">
        <v>54.74</v>
      </c>
      <c r="AL51" s="701">
        <v>9.5299999999999994</v>
      </c>
      <c r="AM51" s="701">
        <v>9.74</v>
      </c>
      <c r="AN51" s="701">
        <v>203.62</v>
      </c>
      <c r="AO51" s="701">
        <v>203.61</v>
      </c>
      <c r="AP51" s="701">
        <v>0.75</v>
      </c>
      <c r="AQ51" s="701">
        <v>0.75</v>
      </c>
      <c r="AR51" s="701">
        <v>1.69</v>
      </c>
      <c r="AS51" s="701">
        <v>1.67</v>
      </c>
      <c r="AT51" s="944" t="s">
        <v>1217</v>
      </c>
      <c r="AU51" s="701">
        <v>21.53</v>
      </c>
      <c r="AV51" s="701">
        <v>21.54</v>
      </c>
      <c r="AW51" s="701">
        <v>1.18</v>
      </c>
      <c r="AX51" s="701">
        <v>1.2</v>
      </c>
      <c r="AY51" s="701">
        <v>20.91</v>
      </c>
      <c r="AZ51" s="701">
        <v>20.91</v>
      </c>
      <c r="BA51" s="701">
        <v>7.0000000000000007E-2</v>
      </c>
      <c r="BB51" s="701">
        <v>7.0000000000000007E-2</v>
      </c>
      <c r="BC51" s="701">
        <v>58.06</v>
      </c>
      <c r="BD51" s="701">
        <v>58.31</v>
      </c>
      <c r="BE51" s="701">
        <v>9.65</v>
      </c>
      <c r="BF51" s="701">
        <v>9.76</v>
      </c>
      <c r="BG51" s="701">
        <v>0.54</v>
      </c>
      <c r="BH51" s="701">
        <v>0.54</v>
      </c>
      <c r="BI51" s="944" t="s">
        <v>1217</v>
      </c>
      <c r="BJ51" s="701">
        <v>81.31</v>
      </c>
      <c r="BK51" s="701">
        <v>81.7</v>
      </c>
      <c r="BL51" s="701">
        <v>0.36</v>
      </c>
      <c r="BM51" s="701">
        <v>0.36</v>
      </c>
      <c r="BN51" s="701">
        <v>110.43</v>
      </c>
      <c r="BO51" s="701">
        <v>111.11</v>
      </c>
      <c r="BP51" s="701">
        <v>2.23</v>
      </c>
      <c r="BQ51" s="701">
        <v>2.25</v>
      </c>
      <c r="BR51" s="701">
        <v>21.34</v>
      </c>
      <c r="BS51" s="701">
        <v>21.34</v>
      </c>
      <c r="BT51" s="701">
        <v>78.400000000000006</v>
      </c>
      <c r="BU51" s="701">
        <v>78.400000000000006</v>
      </c>
      <c r="BV51" s="701">
        <v>112.14</v>
      </c>
      <c r="BW51" s="701">
        <v>114.5</v>
      </c>
    </row>
    <row r="52" spans="1:75" s="483" customFormat="1" ht="11.85" customHeight="1">
      <c r="A52" s="935" t="s">
        <v>1218</v>
      </c>
      <c r="B52" s="733">
        <v>57.37</v>
      </c>
      <c r="C52" s="733">
        <v>56.31</v>
      </c>
      <c r="D52" s="733">
        <v>78.400000000000006</v>
      </c>
      <c r="E52" s="733">
        <v>78.400000000000006</v>
      </c>
      <c r="F52" s="733">
        <v>207.96</v>
      </c>
      <c r="G52" s="733">
        <v>207.93</v>
      </c>
      <c r="H52" s="733">
        <v>60.64</v>
      </c>
      <c r="I52" s="733">
        <v>60.09</v>
      </c>
      <c r="J52" s="733">
        <v>12.01</v>
      </c>
      <c r="K52" s="733">
        <v>11.92</v>
      </c>
      <c r="L52" s="733">
        <v>11.92</v>
      </c>
      <c r="M52" s="733">
        <v>11.74</v>
      </c>
      <c r="N52" s="733">
        <v>88.66</v>
      </c>
      <c r="O52" s="733">
        <v>87.39</v>
      </c>
      <c r="P52" s="935" t="s">
        <v>1218</v>
      </c>
      <c r="Q52" s="733">
        <v>10.09</v>
      </c>
      <c r="R52" s="733">
        <v>10.09</v>
      </c>
      <c r="S52" s="733">
        <v>1.17</v>
      </c>
      <c r="T52" s="733">
        <v>1.17</v>
      </c>
      <c r="U52" s="733">
        <v>0.01</v>
      </c>
      <c r="V52" s="733">
        <v>0.01</v>
      </c>
      <c r="W52" s="733">
        <v>0</v>
      </c>
      <c r="X52" s="733">
        <v>0</v>
      </c>
      <c r="Y52" s="733">
        <v>0.72</v>
      </c>
      <c r="Z52" s="733">
        <v>0.71</v>
      </c>
      <c r="AA52" s="733">
        <v>260.05</v>
      </c>
      <c r="AB52" s="733">
        <v>259.60000000000002</v>
      </c>
      <c r="AC52" s="733">
        <v>19.399999999999999</v>
      </c>
      <c r="AD52" s="733">
        <v>19.07</v>
      </c>
      <c r="AE52" s="935" t="s">
        <v>1218</v>
      </c>
      <c r="AF52" s="733">
        <v>7.0000000000000007E-2</v>
      </c>
      <c r="AG52" s="733">
        <v>7.0000000000000007E-2</v>
      </c>
      <c r="AH52" s="733">
        <v>0.73</v>
      </c>
      <c r="AI52" s="733">
        <v>0.73</v>
      </c>
      <c r="AJ52" s="733">
        <v>53.32</v>
      </c>
      <c r="AK52" s="733">
        <v>52.48</v>
      </c>
      <c r="AL52" s="733">
        <v>9.5299999999999994</v>
      </c>
      <c r="AM52" s="733">
        <v>9.39</v>
      </c>
      <c r="AN52" s="733">
        <v>203.63</v>
      </c>
      <c r="AO52" s="733">
        <v>203.61</v>
      </c>
      <c r="AP52" s="733">
        <v>0.75</v>
      </c>
      <c r="AQ52" s="733">
        <v>0.75</v>
      </c>
      <c r="AR52" s="733">
        <v>1.67</v>
      </c>
      <c r="AS52" s="733">
        <v>1.68</v>
      </c>
      <c r="AT52" s="935" t="s">
        <v>1218</v>
      </c>
      <c r="AU52" s="733">
        <v>21.53</v>
      </c>
      <c r="AV52" s="733">
        <v>21.53</v>
      </c>
      <c r="AW52" s="733">
        <v>1.19</v>
      </c>
      <c r="AX52" s="733">
        <v>1.19</v>
      </c>
      <c r="AY52" s="733">
        <v>20.9</v>
      </c>
      <c r="AZ52" s="733">
        <v>20.9</v>
      </c>
      <c r="BA52" s="733">
        <v>7.0000000000000007E-2</v>
      </c>
      <c r="BB52" s="733">
        <v>7.0000000000000007E-2</v>
      </c>
      <c r="BC52" s="733">
        <v>57.23</v>
      </c>
      <c r="BD52" s="733">
        <v>56.74</v>
      </c>
      <c r="BE52" s="733">
        <v>9.5399999999999991</v>
      </c>
      <c r="BF52" s="733">
        <v>9.43</v>
      </c>
      <c r="BG52" s="733">
        <v>0.53</v>
      </c>
      <c r="BH52" s="733">
        <v>0.53</v>
      </c>
      <c r="BI52" s="935" t="s">
        <v>1218</v>
      </c>
      <c r="BJ52" s="733">
        <v>80.14</v>
      </c>
      <c r="BK52" s="733">
        <v>79.02</v>
      </c>
      <c r="BL52" s="733">
        <v>0.36</v>
      </c>
      <c r="BM52" s="733">
        <v>0.36</v>
      </c>
      <c r="BN52" s="733">
        <v>110.66</v>
      </c>
      <c r="BO52" s="733">
        <v>110.22</v>
      </c>
      <c r="BP52" s="733">
        <v>2.21</v>
      </c>
      <c r="BQ52" s="733">
        <v>2.19</v>
      </c>
      <c r="BR52" s="733">
        <v>21.34</v>
      </c>
      <c r="BS52" s="733">
        <v>21.34</v>
      </c>
      <c r="BT52" s="733">
        <v>78.400000000000006</v>
      </c>
      <c r="BU52" s="733">
        <v>78.400000000000006</v>
      </c>
      <c r="BV52" s="733">
        <v>113.87</v>
      </c>
      <c r="BW52" s="733">
        <v>114.77</v>
      </c>
    </row>
    <row r="53" spans="1:75" s="483" customFormat="1" ht="11.85" customHeight="1">
      <c r="A53" s="944" t="s">
        <v>1209</v>
      </c>
      <c r="B53" s="701">
        <v>57.97</v>
      </c>
      <c r="C53" s="701">
        <v>58.42</v>
      </c>
      <c r="D53" s="701">
        <v>78.400000000000006</v>
      </c>
      <c r="E53" s="701">
        <v>78.400000000000006</v>
      </c>
      <c r="F53" s="701">
        <v>207.91</v>
      </c>
      <c r="G53" s="701">
        <v>207.76</v>
      </c>
      <c r="H53" s="701">
        <v>60.78</v>
      </c>
      <c r="I53" s="701">
        <v>60.63</v>
      </c>
      <c r="J53" s="701">
        <v>11.91</v>
      </c>
      <c r="K53" s="701">
        <v>11.82</v>
      </c>
      <c r="L53" s="701">
        <v>11.85</v>
      </c>
      <c r="M53" s="701">
        <v>11.73</v>
      </c>
      <c r="N53" s="701">
        <v>88.13</v>
      </c>
      <c r="O53" s="701">
        <v>87.21</v>
      </c>
      <c r="P53" s="944" t="s">
        <v>1209</v>
      </c>
      <c r="Q53" s="701">
        <v>10.09</v>
      </c>
      <c r="R53" s="701">
        <v>10.1</v>
      </c>
      <c r="S53" s="701">
        <v>1.1599999999999999</v>
      </c>
      <c r="T53" s="701">
        <v>1.1599999999999999</v>
      </c>
      <c r="U53" s="701">
        <v>0.01</v>
      </c>
      <c r="V53" s="701">
        <v>0.01</v>
      </c>
      <c r="W53" s="701">
        <v>0</v>
      </c>
      <c r="X53" s="701">
        <v>0</v>
      </c>
      <c r="Y53" s="701">
        <v>0.74</v>
      </c>
      <c r="Z53" s="701">
        <v>0.76</v>
      </c>
      <c r="AA53" s="701">
        <v>260</v>
      </c>
      <c r="AB53" s="701">
        <v>259.52</v>
      </c>
      <c r="AC53" s="701">
        <v>19.18</v>
      </c>
      <c r="AD53" s="701">
        <v>19.5</v>
      </c>
      <c r="AE53" s="944" t="s">
        <v>1209</v>
      </c>
      <c r="AF53" s="701">
        <v>7.0000000000000007E-2</v>
      </c>
      <c r="AG53" s="701">
        <v>7.0000000000000007E-2</v>
      </c>
      <c r="AH53" s="701">
        <v>0.73</v>
      </c>
      <c r="AI53" s="701">
        <v>0.72</v>
      </c>
      <c r="AJ53" s="701">
        <v>55.08</v>
      </c>
      <c r="AK53" s="701">
        <v>55.76</v>
      </c>
      <c r="AL53" s="701">
        <v>9.44</v>
      </c>
      <c r="AM53" s="701">
        <v>9.34</v>
      </c>
      <c r="AN53" s="701">
        <v>203.63</v>
      </c>
      <c r="AO53" s="701">
        <v>203.63</v>
      </c>
      <c r="AP53" s="701">
        <v>0.75</v>
      </c>
      <c r="AQ53" s="701">
        <v>0.75</v>
      </c>
      <c r="AR53" s="701">
        <v>1.67</v>
      </c>
      <c r="AS53" s="701">
        <v>1.67</v>
      </c>
      <c r="AT53" s="944" t="s">
        <v>1209</v>
      </c>
      <c r="AU53" s="701">
        <v>21.54</v>
      </c>
      <c r="AV53" s="701">
        <v>21.53</v>
      </c>
      <c r="AW53" s="701">
        <v>1.2</v>
      </c>
      <c r="AX53" s="701">
        <v>1.22</v>
      </c>
      <c r="AY53" s="701">
        <v>20.9</v>
      </c>
      <c r="AZ53" s="701">
        <v>20.9</v>
      </c>
      <c r="BA53" s="701">
        <v>7.0000000000000007E-2</v>
      </c>
      <c r="BB53" s="701">
        <v>7.0000000000000007E-2</v>
      </c>
      <c r="BC53" s="701">
        <v>57.89</v>
      </c>
      <c r="BD53" s="701">
        <v>58.16</v>
      </c>
      <c r="BE53" s="701">
        <v>9.44</v>
      </c>
      <c r="BF53" s="701">
        <v>9.25</v>
      </c>
      <c r="BG53" s="701">
        <v>0.54</v>
      </c>
      <c r="BH53" s="701">
        <v>0.54</v>
      </c>
      <c r="BI53" s="944" t="s">
        <v>1209</v>
      </c>
      <c r="BJ53" s="701">
        <v>80.849999999999994</v>
      </c>
      <c r="BK53" s="701">
        <v>80.02</v>
      </c>
      <c r="BL53" s="701">
        <v>0.36</v>
      </c>
      <c r="BM53" s="701">
        <v>0.36</v>
      </c>
      <c r="BN53" s="701">
        <v>110.35</v>
      </c>
      <c r="BO53" s="701">
        <v>109.44</v>
      </c>
      <c r="BP53" s="701">
        <v>2.2200000000000002</v>
      </c>
      <c r="BQ53" s="701">
        <v>2.2200000000000002</v>
      </c>
      <c r="BR53" s="701">
        <v>21.34</v>
      </c>
      <c r="BS53" s="701">
        <v>21.35</v>
      </c>
      <c r="BT53" s="701">
        <v>78.400000000000006</v>
      </c>
      <c r="BU53" s="701">
        <v>78.400000000000006</v>
      </c>
      <c r="BV53" s="701">
        <v>111.7</v>
      </c>
      <c r="BW53" s="701">
        <v>105.25</v>
      </c>
    </row>
    <row r="54" spans="1:75" s="483" customFormat="1" ht="11.85" customHeight="1">
      <c r="A54" s="1057" t="s">
        <v>2809</v>
      </c>
      <c r="B54" s="531"/>
      <c r="C54" s="531"/>
      <c r="D54" s="531"/>
      <c r="E54" s="531"/>
      <c r="F54" s="531"/>
      <c r="G54" s="531"/>
      <c r="H54" s="531"/>
      <c r="I54" s="531"/>
      <c r="J54" s="531"/>
      <c r="K54" s="531"/>
      <c r="L54" s="531"/>
      <c r="M54" s="531"/>
      <c r="N54" s="531"/>
      <c r="O54" s="531"/>
      <c r="P54" s="1057" t="s">
        <v>2809</v>
      </c>
      <c r="Q54" s="733"/>
      <c r="R54" s="733"/>
      <c r="S54" s="733"/>
      <c r="T54" s="733"/>
      <c r="U54" s="733"/>
      <c r="V54" s="733"/>
      <c r="W54" s="733"/>
      <c r="X54" s="733"/>
      <c r="Y54" s="733"/>
      <c r="Z54" s="733"/>
      <c r="AA54" s="733"/>
      <c r="AB54" s="733"/>
      <c r="AC54" s="733"/>
      <c r="AD54" s="733"/>
      <c r="AE54" s="1057" t="s">
        <v>2809</v>
      </c>
      <c r="AF54" s="733"/>
      <c r="AG54" s="733"/>
      <c r="AH54" s="733"/>
      <c r="AI54" s="733"/>
      <c r="AJ54" s="733"/>
      <c r="AK54" s="733"/>
      <c r="AL54" s="733"/>
      <c r="AM54" s="733"/>
      <c r="AN54" s="733"/>
      <c r="AO54" s="733"/>
      <c r="AP54" s="733"/>
      <c r="AQ54" s="733"/>
      <c r="AR54" s="733"/>
      <c r="AS54" s="733"/>
      <c r="AT54" s="1057" t="s">
        <v>2809</v>
      </c>
      <c r="AU54" s="733"/>
      <c r="AV54" s="733"/>
      <c r="AW54" s="733"/>
      <c r="AX54" s="733"/>
      <c r="AY54" s="733"/>
      <c r="AZ54" s="733"/>
      <c r="BA54" s="733"/>
      <c r="BB54" s="733"/>
      <c r="BC54" s="733"/>
      <c r="BD54" s="733"/>
      <c r="BE54" s="733"/>
      <c r="BF54" s="733"/>
      <c r="BG54" s="733"/>
      <c r="BH54" s="733"/>
      <c r="BI54" s="1057" t="s">
        <v>2809</v>
      </c>
      <c r="BJ54" s="733"/>
      <c r="BK54" s="733"/>
      <c r="BL54" s="733"/>
      <c r="BM54" s="733"/>
      <c r="BN54" s="733"/>
      <c r="BO54" s="733"/>
      <c r="BP54" s="733"/>
      <c r="BQ54" s="733"/>
      <c r="BR54" s="733"/>
      <c r="BS54" s="733"/>
      <c r="BT54" s="733"/>
      <c r="BU54" s="733"/>
      <c r="BV54" s="733"/>
      <c r="BW54" s="733"/>
    </row>
    <row r="55" spans="1:75" s="483" customFormat="1" ht="11.85" customHeight="1">
      <c r="A55" s="944" t="s">
        <v>1211</v>
      </c>
      <c r="B55" s="701">
        <v>59.02</v>
      </c>
      <c r="C55" s="701">
        <v>59.56</v>
      </c>
      <c r="D55" s="701">
        <v>78.400000000000006</v>
      </c>
      <c r="E55" s="701">
        <v>78.400000000000006</v>
      </c>
      <c r="F55" s="701">
        <v>207.79</v>
      </c>
      <c r="G55" s="701">
        <v>207.85</v>
      </c>
      <c r="H55" s="701">
        <v>60.19</v>
      </c>
      <c r="I55" s="701">
        <v>60.17</v>
      </c>
      <c r="J55" s="701">
        <v>11.75</v>
      </c>
      <c r="K55" s="701">
        <v>11.79</v>
      </c>
      <c r="L55" s="701">
        <v>11.66</v>
      </c>
      <c r="M55" s="701">
        <v>11.78</v>
      </c>
      <c r="N55" s="701">
        <v>86.75</v>
      </c>
      <c r="O55" s="701">
        <v>87.6</v>
      </c>
      <c r="P55" s="944" t="s">
        <v>1211</v>
      </c>
      <c r="Q55" s="701">
        <v>10.11</v>
      </c>
      <c r="R55" s="701">
        <v>10.11</v>
      </c>
      <c r="S55" s="701">
        <v>1.17</v>
      </c>
      <c r="T55" s="701">
        <v>1.18</v>
      </c>
      <c r="U55" s="701">
        <v>0.01</v>
      </c>
      <c r="V55" s="701">
        <v>0.01</v>
      </c>
      <c r="W55" s="701">
        <v>0</v>
      </c>
      <c r="X55" s="701">
        <v>0</v>
      </c>
      <c r="Y55" s="701">
        <v>0.75</v>
      </c>
      <c r="Z55" s="701">
        <v>0.77</v>
      </c>
      <c r="AA55" s="701">
        <v>259.44</v>
      </c>
      <c r="AB55" s="701">
        <v>259.26</v>
      </c>
      <c r="AC55" s="701">
        <v>19.510000000000002</v>
      </c>
      <c r="AD55" s="701">
        <v>19.260000000000002</v>
      </c>
      <c r="AE55" s="944" t="s">
        <v>1211</v>
      </c>
      <c r="AF55" s="701">
        <v>7.0000000000000007E-2</v>
      </c>
      <c r="AG55" s="701">
        <v>7.0000000000000007E-2</v>
      </c>
      <c r="AH55" s="701">
        <v>0.73</v>
      </c>
      <c r="AI55" s="701">
        <v>0.73</v>
      </c>
      <c r="AJ55" s="701">
        <v>56.04</v>
      </c>
      <c r="AK55" s="701">
        <v>56.51</v>
      </c>
      <c r="AL55" s="701">
        <v>9.26</v>
      </c>
      <c r="AM55" s="701">
        <v>9.2799999999999994</v>
      </c>
      <c r="AN55" s="701">
        <v>203.63</v>
      </c>
      <c r="AO55" s="701">
        <v>203.56</v>
      </c>
      <c r="AP55" s="701">
        <v>0.75</v>
      </c>
      <c r="AQ55" s="701">
        <v>0.75</v>
      </c>
      <c r="AR55" s="701">
        <v>1.67</v>
      </c>
      <c r="AS55" s="701">
        <v>1.67</v>
      </c>
      <c r="AT55" s="944" t="s">
        <v>1211</v>
      </c>
      <c r="AU55" s="857">
        <v>21.53</v>
      </c>
      <c r="AV55" s="701">
        <v>21.53</v>
      </c>
      <c r="AW55" s="701">
        <v>1.22</v>
      </c>
      <c r="AX55" s="701">
        <v>1.19</v>
      </c>
      <c r="AY55" s="701">
        <v>20.9</v>
      </c>
      <c r="AZ55" s="701">
        <v>20.9</v>
      </c>
      <c r="BA55" s="701">
        <v>7.0000000000000007E-2</v>
      </c>
      <c r="BB55" s="701">
        <v>7.0000000000000007E-2</v>
      </c>
      <c r="BC55" s="701">
        <v>58.07</v>
      </c>
      <c r="BD55" s="701">
        <v>58.052</v>
      </c>
      <c r="BE55" s="701">
        <v>9.16</v>
      </c>
      <c r="BF55" s="701">
        <v>9.16</v>
      </c>
      <c r="BG55" s="701">
        <v>0.54</v>
      </c>
      <c r="BH55" s="701">
        <v>0.54</v>
      </c>
      <c r="BI55" s="944" t="s">
        <v>1211</v>
      </c>
      <c r="BJ55" s="701">
        <v>79.87</v>
      </c>
      <c r="BK55" s="701">
        <v>80.88</v>
      </c>
      <c r="BL55" s="701">
        <v>0.36</v>
      </c>
      <c r="BM55" s="701">
        <v>0.36</v>
      </c>
      <c r="BN55" s="701">
        <v>109.06</v>
      </c>
      <c r="BO55" s="701">
        <v>109.24</v>
      </c>
      <c r="BP55" s="701">
        <v>2.2400000000000002</v>
      </c>
      <c r="BQ55" s="701">
        <v>2.25</v>
      </c>
      <c r="BR55" s="701">
        <v>21.35</v>
      </c>
      <c r="BS55" s="701">
        <v>21.35</v>
      </c>
      <c r="BT55" s="701">
        <v>78.400000000000006</v>
      </c>
      <c r="BU55" s="701">
        <v>78.400000000000006</v>
      </c>
      <c r="BV55" s="701">
        <v>103.18</v>
      </c>
      <c r="BW55" s="701">
        <v>103.73</v>
      </c>
    </row>
    <row r="56" spans="1:75" s="483" customFormat="1" ht="11.85" customHeight="1">
      <c r="A56" s="935" t="s">
        <v>1212</v>
      </c>
      <c r="B56" s="733">
        <v>59.77</v>
      </c>
      <c r="C56" s="733">
        <v>58.87</v>
      </c>
      <c r="D56" s="733">
        <v>78.400000000000006</v>
      </c>
      <c r="E56" s="733">
        <v>78.400000000000006</v>
      </c>
      <c r="F56" s="733">
        <v>207.91</v>
      </c>
      <c r="G56" s="733">
        <v>207.93</v>
      </c>
      <c r="H56" s="733">
        <v>60.33</v>
      </c>
      <c r="I56" s="733">
        <v>59.85</v>
      </c>
      <c r="J56" s="733">
        <v>11.79</v>
      </c>
      <c r="K56" s="733">
        <v>11.72</v>
      </c>
      <c r="L56" s="733">
        <v>11.8</v>
      </c>
      <c r="M56" s="733">
        <v>11.73</v>
      </c>
      <c r="N56" s="733">
        <v>87.84</v>
      </c>
      <c r="O56" s="733">
        <v>87.36</v>
      </c>
      <c r="P56" s="935" t="s">
        <v>1212</v>
      </c>
      <c r="Q56" s="733">
        <v>10.11</v>
      </c>
      <c r="R56" s="733">
        <v>10.11</v>
      </c>
      <c r="S56" s="733">
        <v>1.17</v>
      </c>
      <c r="T56" s="733">
        <v>1.17</v>
      </c>
      <c r="U56" s="733">
        <v>0.01</v>
      </c>
      <c r="V56" s="733">
        <v>0.01</v>
      </c>
      <c r="W56" s="733">
        <v>0</v>
      </c>
      <c r="X56" s="733">
        <v>0</v>
      </c>
      <c r="Y56" s="733">
        <v>0.77</v>
      </c>
      <c r="Z56" s="733">
        <v>0.76</v>
      </c>
      <c r="AA56" s="733">
        <v>259.99</v>
      </c>
      <c r="AB56" s="733">
        <v>259.69</v>
      </c>
      <c r="AC56" s="733">
        <v>19.47</v>
      </c>
      <c r="AD56" s="733">
        <v>19.36</v>
      </c>
      <c r="AE56" s="935" t="s">
        <v>1212</v>
      </c>
      <c r="AF56" s="733">
        <v>7.0000000000000007E-2</v>
      </c>
      <c r="AG56" s="733">
        <v>0.06</v>
      </c>
      <c r="AH56" s="733">
        <v>0.73</v>
      </c>
      <c r="AI56" s="733">
        <v>0.73</v>
      </c>
      <c r="AJ56" s="733">
        <v>56.65</v>
      </c>
      <c r="AK56" s="733">
        <v>56.6</v>
      </c>
      <c r="AL56" s="733">
        <v>9.44</v>
      </c>
      <c r="AM56" s="733">
        <v>9.4</v>
      </c>
      <c r="AN56" s="733">
        <v>203.64</v>
      </c>
      <c r="AO56" s="733">
        <v>203.64</v>
      </c>
      <c r="AP56" s="733">
        <v>0.75</v>
      </c>
      <c r="AQ56" s="733">
        <v>0.75</v>
      </c>
      <c r="AR56" s="733">
        <v>1.68</v>
      </c>
      <c r="AS56" s="733">
        <v>1.68</v>
      </c>
      <c r="AT56" s="935" t="s">
        <v>1212</v>
      </c>
      <c r="AU56" s="820">
        <v>21.53</v>
      </c>
      <c r="AV56" s="733">
        <v>21.53</v>
      </c>
      <c r="AW56" s="733">
        <v>1.21</v>
      </c>
      <c r="AX56" s="733">
        <v>1.2</v>
      </c>
      <c r="AY56" s="733">
        <v>20.91</v>
      </c>
      <c r="AZ56" s="733">
        <v>20.9</v>
      </c>
      <c r="BA56" s="733">
        <v>7.0000000000000007E-2</v>
      </c>
      <c r="BB56" s="733">
        <v>7.0000000000000007E-2</v>
      </c>
      <c r="BC56" s="733">
        <v>58.19</v>
      </c>
      <c r="BD56" s="733">
        <v>57.44</v>
      </c>
      <c r="BE56" s="733">
        <v>9.25</v>
      </c>
      <c r="BF56" s="733">
        <v>9.19</v>
      </c>
      <c r="BG56" s="733">
        <v>0.54</v>
      </c>
      <c r="BH56" s="733">
        <v>0.54</v>
      </c>
      <c r="BI56" s="935" t="s">
        <v>1212</v>
      </c>
      <c r="BJ56" s="733">
        <v>80.709999999999994</v>
      </c>
      <c r="BK56" s="733">
        <v>79.680000000000007</v>
      </c>
      <c r="BL56" s="733">
        <v>0.36</v>
      </c>
      <c r="BM56" s="733">
        <v>0.37</v>
      </c>
      <c r="BN56" s="733">
        <v>109.71</v>
      </c>
      <c r="BO56" s="733">
        <v>109.44</v>
      </c>
      <c r="BP56" s="733">
        <v>2.2599999999999998</v>
      </c>
      <c r="BQ56" s="733">
        <v>2.2599999999999998</v>
      </c>
      <c r="BR56" s="733">
        <v>21.34</v>
      </c>
      <c r="BS56" s="733">
        <v>21.34</v>
      </c>
      <c r="BT56" s="733">
        <v>78.400000000000006</v>
      </c>
      <c r="BU56" s="733">
        <v>78.400000000000006</v>
      </c>
      <c r="BV56" s="733">
        <v>102.71</v>
      </c>
      <c r="BW56" s="733">
        <v>102.57</v>
      </c>
    </row>
    <row r="57" spans="1:75" s="483" customFormat="1" ht="11.85" customHeight="1">
      <c r="A57" s="944" t="s">
        <v>1206</v>
      </c>
      <c r="B57" s="701">
        <v>59.46</v>
      </c>
      <c r="C57" s="701">
        <v>59.86</v>
      </c>
      <c r="D57" s="701">
        <v>78.400000000000006</v>
      </c>
      <c r="E57" s="701">
        <v>78.400000000000006</v>
      </c>
      <c r="F57" s="701">
        <v>207.96</v>
      </c>
      <c r="G57" s="701">
        <v>207.96</v>
      </c>
      <c r="H57" s="701">
        <v>59.91</v>
      </c>
      <c r="I57" s="701">
        <v>59.65</v>
      </c>
      <c r="J57" s="701">
        <v>11.75</v>
      </c>
      <c r="K57" s="701">
        <v>11.74</v>
      </c>
      <c r="L57" s="701">
        <v>11.79</v>
      </c>
      <c r="M57" s="701">
        <v>11.81</v>
      </c>
      <c r="N57" s="701">
        <v>87.87</v>
      </c>
      <c r="O57" s="701">
        <v>87.98</v>
      </c>
      <c r="P57" s="944" t="s">
        <v>1206</v>
      </c>
      <c r="Q57" s="701">
        <v>10.11</v>
      </c>
      <c r="R57" s="701">
        <v>10.11</v>
      </c>
      <c r="S57" s="701">
        <v>1.17</v>
      </c>
      <c r="T57" s="701">
        <v>1.17</v>
      </c>
      <c r="U57" s="701">
        <v>0.01</v>
      </c>
      <c r="V57" s="701">
        <v>0.01</v>
      </c>
      <c r="W57" s="701">
        <v>0</v>
      </c>
      <c r="X57" s="701">
        <v>0</v>
      </c>
      <c r="Y57" s="701">
        <v>0.77</v>
      </c>
      <c r="Z57" s="701">
        <v>0.78</v>
      </c>
      <c r="AA57" s="701">
        <v>260.02999999999997</v>
      </c>
      <c r="AB57" s="701">
        <v>260.16000000000003</v>
      </c>
      <c r="AC57" s="701">
        <v>19.09</v>
      </c>
      <c r="AD57" s="701">
        <v>18.920000000000002</v>
      </c>
      <c r="AE57" s="944" t="s">
        <v>1206</v>
      </c>
      <c r="AF57" s="701">
        <v>0.06</v>
      </c>
      <c r="AG57" s="701">
        <v>0.06</v>
      </c>
      <c r="AH57" s="701">
        <v>0.73</v>
      </c>
      <c r="AI57" s="701">
        <v>0.73</v>
      </c>
      <c r="AJ57" s="701">
        <v>57.3</v>
      </c>
      <c r="AK57" s="701">
        <v>56.87</v>
      </c>
      <c r="AL57" s="701">
        <v>9.5399999999999991</v>
      </c>
      <c r="AM57" s="701">
        <v>9.74</v>
      </c>
      <c r="AN57" s="701">
        <v>203.62</v>
      </c>
      <c r="AO57" s="701">
        <v>203.63</v>
      </c>
      <c r="AP57" s="701">
        <v>0.75</v>
      </c>
      <c r="AQ57" s="701">
        <v>0.75</v>
      </c>
      <c r="AR57" s="701">
        <v>1.65</v>
      </c>
      <c r="AS57" s="701">
        <v>1.62</v>
      </c>
      <c r="AT57" s="944" t="s">
        <v>1206</v>
      </c>
      <c r="AU57" s="857">
        <v>21.53</v>
      </c>
      <c r="AV57" s="701">
        <v>21.53</v>
      </c>
      <c r="AW57" s="701">
        <v>1.22</v>
      </c>
      <c r="AX57" s="701">
        <v>1.24</v>
      </c>
      <c r="AY57" s="701">
        <v>20.9</v>
      </c>
      <c r="AZ57" s="701">
        <v>20.88</v>
      </c>
      <c r="BA57" s="701">
        <v>7.0000000000000007E-2</v>
      </c>
      <c r="BB57" s="701">
        <v>7.0000000000000007E-2</v>
      </c>
      <c r="BC57" s="701">
        <v>57.68</v>
      </c>
      <c r="BD57" s="701">
        <v>57.46</v>
      </c>
      <c r="BE57" s="701">
        <v>9.19</v>
      </c>
      <c r="BF57" s="701">
        <v>9.14</v>
      </c>
      <c r="BG57" s="701">
        <v>0.54</v>
      </c>
      <c r="BH57" s="701">
        <v>0.53</v>
      </c>
      <c r="BI57" s="944" t="s">
        <v>1206</v>
      </c>
      <c r="BJ57" s="701">
        <v>80.430000000000007</v>
      </c>
      <c r="BK57" s="701">
        <v>81.150000000000006</v>
      </c>
      <c r="BL57" s="701">
        <v>0.36</v>
      </c>
      <c r="BM57" s="701">
        <v>0.37</v>
      </c>
      <c r="BN57" s="701">
        <v>109.69</v>
      </c>
      <c r="BO57" s="701">
        <v>109.62</v>
      </c>
      <c r="BP57" s="701">
        <v>2.2599999999999998</v>
      </c>
      <c r="BQ57" s="701">
        <v>2.2599999999999998</v>
      </c>
      <c r="BR57" s="701">
        <v>21.34</v>
      </c>
      <c r="BS57" s="701">
        <v>21.34</v>
      </c>
      <c r="BT57" s="701">
        <v>78.400000000000006</v>
      </c>
      <c r="BU57" s="701">
        <v>78.400000000000006</v>
      </c>
      <c r="BV57" s="701">
        <v>103.1</v>
      </c>
      <c r="BW57" s="701">
        <v>101.68</v>
      </c>
    </row>
    <row r="58" spans="1:75" s="483" customFormat="1" ht="11.85" customHeight="1">
      <c r="A58" s="935" t="s">
        <v>1213</v>
      </c>
      <c r="B58" s="733">
        <v>59.72</v>
      </c>
      <c r="C58" s="733">
        <v>59.59</v>
      </c>
      <c r="D58" s="733">
        <v>78.400000000000006</v>
      </c>
      <c r="E58" s="733">
        <v>78.42</v>
      </c>
      <c r="F58" s="733">
        <v>207.95</v>
      </c>
      <c r="G58" s="733">
        <v>207.97</v>
      </c>
      <c r="H58" s="733">
        <v>59.23</v>
      </c>
      <c r="I58" s="733">
        <v>58.53</v>
      </c>
      <c r="J58" s="733">
        <v>11.65</v>
      </c>
      <c r="K58" s="733">
        <v>11.59</v>
      </c>
      <c r="L58" s="733">
        <v>11.63</v>
      </c>
      <c r="M58" s="733">
        <v>11.57</v>
      </c>
      <c r="N58" s="733">
        <v>86.56</v>
      </c>
      <c r="O58" s="733">
        <v>86.15</v>
      </c>
      <c r="P58" s="935" t="s">
        <v>1213</v>
      </c>
      <c r="Q58" s="733">
        <v>10.11</v>
      </c>
      <c r="R58" s="733">
        <v>10.11</v>
      </c>
      <c r="S58" s="733">
        <v>1.17</v>
      </c>
      <c r="T58" s="733">
        <v>1.17</v>
      </c>
      <c r="U58" s="733">
        <v>0.01</v>
      </c>
      <c r="V58" s="733">
        <v>0.01</v>
      </c>
      <c r="W58" s="733">
        <v>0</v>
      </c>
      <c r="X58" s="733">
        <v>0</v>
      </c>
      <c r="Y58" s="733">
        <v>0.76</v>
      </c>
      <c r="Z58" s="733">
        <v>0.75</v>
      </c>
      <c r="AA58" s="733">
        <v>259.14</v>
      </c>
      <c r="AB58" s="733">
        <v>258.58</v>
      </c>
      <c r="AC58" s="733">
        <v>18.78</v>
      </c>
      <c r="AD58" s="733">
        <v>18.66</v>
      </c>
      <c r="AE58" s="935" t="s">
        <v>1213</v>
      </c>
      <c r="AF58" s="733">
        <v>0.06</v>
      </c>
      <c r="AG58" s="733">
        <v>0.06</v>
      </c>
      <c r="AH58" s="733">
        <v>0.73</v>
      </c>
      <c r="AI58" s="733">
        <v>0.73</v>
      </c>
      <c r="AJ58" s="733">
        <v>56.16</v>
      </c>
      <c r="AK58" s="733">
        <v>56.16</v>
      </c>
      <c r="AL58" s="733">
        <v>9.61</v>
      </c>
      <c r="AM58" s="733">
        <v>9.49</v>
      </c>
      <c r="AN58" s="733">
        <v>203.63</v>
      </c>
      <c r="AO58" s="733">
        <v>203.68</v>
      </c>
      <c r="AP58" s="733">
        <v>0.75</v>
      </c>
      <c r="AQ58" s="733">
        <v>0.75</v>
      </c>
      <c r="AR58" s="733">
        <v>1.62</v>
      </c>
      <c r="AS58" s="733">
        <v>1.62</v>
      </c>
      <c r="AT58" s="935" t="s">
        <v>1213</v>
      </c>
      <c r="AU58" s="820">
        <v>21.53</v>
      </c>
      <c r="AV58" s="733">
        <v>21.54</v>
      </c>
      <c r="AW58" s="733">
        <v>1.25</v>
      </c>
      <c r="AX58" s="733">
        <v>1.24</v>
      </c>
      <c r="AY58" s="733">
        <v>20.9</v>
      </c>
      <c r="AZ58" s="733">
        <v>20.91</v>
      </c>
      <c r="BA58" s="733">
        <v>7.0000000000000007E-2</v>
      </c>
      <c r="BB58" s="733">
        <v>7.0000000000000007E-2</v>
      </c>
      <c r="BC58" s="733">
        <v>56.71</v>
      </c>
      <c r="BD58" s="733">
        <v>56.33</v>
      </c>
      <c r="BE58" s="733">
        <v>8.92</v>
      </c>
      <c r="BF58" s="733">
        <v>8.69</v>
      </c>
      <c r="BG58" s="733">
        <v>0.53</v>
      </c>
      <c r="BH58" s="733">
        <v>0.53</v>
      </c>
      <c r="BI58" s="935" t="s">
        <v>1213</v>
      </c>
      <c r="BJ58" s="733">
        <v>79.53</v>
      </c>
      <c r="BK58" s="733">
        <v>79.319999999999993</v>
      </c>
      <c r="BL58" s="733">
        <v>0.16</v>
      </c>
      <c r="BM58" s="733">
        <v>0.15</v>
      </c>
      <c r="BN58" s="733">
        <v>108.32</v>
      </c>
      <c r="BO58" s="733">
        <v>107.57</v>
      </c>
      <c r="BP58" s="733">
        <v>2.2400000000000002</v>
      </c>
      <c r="BQ58" s="733">
        <v>2.2400000000000002</v>
      </c>
      <c r="BR58" s="733">
        <v>21.35</v>
      </c>
      <c r="BS58" s="733">
        <v>21.35</v>
      </c>
      <c r="BT58" s="733">
        <v>78.400000000000006</v>
      </c>
      <c r="BU58" s="733">
        <v>78.42</v>
      </c>
      <c r="BV58" s="733">
        <v>97.03</v>
      </c>
      <c r="BW58" s="733">
        <v>95.55</v>
      </c>
    </row>
    <row r="59" spans="1:75" s="483" customFormat="1" ht="11.85" customHeight="1">
      <c r="A59" s="944" t="s">
        <v>1214</v>
      </c>
      <c r="B59" s="701">
        <v>59.17</v>
      </c>
      <c r="C59" s="701">
        <v>58.91</v>
      </c>
      <c r="D59" s="701">
        <v>78.540000000000006</v>
      </c>
      <c r="E59" s="701">
        <v>78.72</v>
      </c>
      <c r="F59" s="701">
        <v>208.32</v>
      </c>
      <c r="G59" s="701">
        <v>208.82</v>
      </c>
      <c r="H59" s="701">
        <v>58.37</v>
      </c>
      <c r="I59" s="701">
        <v>58.6</v>
      </c>
      <c r="J59" s="701">
        <v>11.49</v>
      </c>
      <c r="K59" s="701">
        <v>11.43</v>
      </c>
      <c r="L59" s="701">
        <v>11.4</v>
      </c>
      <c r="M59" s="701">
        <v>11.27</v>
      </c>
      <c r="N59" s="701">
        <v>84.84</v>
      </c>
      <c r="O59" s="701">
        <v>83.83</v>
      </c>
      <c r="P59" s="944" t="s">
        <v>1214</v>
      </c>
      <c r="Q59" s="701">
        <v>10.130000000000001</v>
      </c>
      <c r="R59" s="701">
        <v>10.15</v>
      </c>
      <c r="S59" s="701">
        <v>1.1599999999999999</v>
      </c>
      <c r="T59" s="701">
        <v>1.1499999999999999</v>
      </c>
      <c r="U59" s="701">
        <v>0.01</v>
      </c>
      <c r="V59" s="701">
        <v>0.01</v>
      </c>
      <c r="W59" s="701">
        <v>0</v>
      </c>
      <c r="X59" s="701">
        <v>0</v>
      </c>
      <c r="Y59" s="701">
        <v>0.73</v>
      </c>
      <c r="Z59" s="701">
        <v>0.7</v>
      </c>
      <c r="AA59" s="701">
        <v>258.51</v>
      </c>
      <c r="AB59" s="701">
        <v>258.04000000000002</v>
      </c>
      <c r="AC59" s="701">
        <v>18.13</v>
      </c>
      <c r="AD59" s="701">
        <v>17.63</v>
      </c>
      <c r="AE59" s="944" t="s">
        <v>1214</v>
      </c>
      <c r="AF59" s="701">
        <v>0.06</v>
      </c>
      <c r="AG59" s="701">
        <v>0.06</v>
      </c>
      <c r="AH59" s="701">
        <v>0.73</v>
      </c>
      <c r="AI59" s="701">
        <v>0.72</v>
      </c>
      <c r="AJ59" s="701">
        <v>56.14</v>
      </c>
      <c r="AK59" s="701">
        <v>56.09</v>
      </c>
      <c r="AL59" s="701">
        <v>9.34</v>
      </c>
      <c r="AM59" s="701">
        <v>9.23</v>
      </c>
      <c r="AN59" s="701">
        <v>204</v>
      </c>
      <c r="AO59" s="701">
        <v>204.45</v>
      </c>
      <c r="AP59" s="701">
        <v>0.75</v>
      </c>
      <c r="AQ59" s="701">
        <v>0.75</v>
      </c>
      <c r="AR59" s="701">
        <v>1.6</v>
      </c>
      <c r="AS59" s="701">
        <v>1.58</v>
      </c>
      <c r="AT59" s="944" t="s">
        <v>1214</v>
      </c>
      <c r="AU59" s="857">
        <v>21.57</v>
      </c>
      <c r="AV59" s="701">
        <v>21.62</v>
      </c>
      <c r="AW59" s="701">
        <v>1.22</v>
      </c>
      <c r="AX59" s="701">
        <v>1.21</v>
      </c>
      <c r="AY59" s="701">
        <v>20.95</v>
      </c>
      <c r="AZ59" s="701">
        <v>20.99</v>
      </c>
      <c r="BA59" s="701">
        <v>7.0000000000000007E-2</v>
      </c>
      <c r="BB59" s="701">
        <v>7.0000000000000007E-2</v>
      </c>
      <c r="BC59" s="701">
        <v>55.71</v>
      </c>
      <c r="BD59" s="701">
        <v>55.24</v>
      </c>
      <c r="BE59" s="701">
        <v>8.61</v>
      </c>
      <c r="BF59" s="701">
        <v>8.57</v>
      </c>
      <c r="BG59" s="701">
        <v>0.53</v>
      </c>
      <c r="BH59" s="701">
        <v>0.53</v>
      </c>
      <c r="BI59" s="944" t="s">
        <v>1214</v>
      </c>
      <c r="BJ59" s="701">
        <v>78.92</v>
      </c>
      <c r="BK59" s="701">
        <v>77.8</v>
      </c>
      <c r="BL59" s="701">
        <v>0.15</v>
      </c>
      <c r="BM59" s="701">
        <v>0.15</v>
      </c>
      <c r="BN59" s="701">
        <v>107.36</v>
      </c>
      <c r="BO59" s="701">
        <v>106.43</v>
      </c>
      <c r="BP59" s="701">
        <v>2.2200000000000002</v>
      </c>
      <c r="BQ59" s="701">
        <v>2.21</v>
      </c>
      <c r="BR59" s="701">
        <v>21.38</v>
      </c>
      <c r="BS59" s="701">
        <v>21.43</v>
      </c>
      <c r="BT59" s="701">
        <v>78.540000000000006</v>
      </c>
      <c r="BU59" s="701">
        <v>78.72</v>
      </c>
      <c r="BV59" s="701">
        <v>97.69</v>
      </c>
      <c r="BW59" s="701">
        <v>98.32</v>
      </c>
    </row>
    <row r="60" spans="1:75" s="483" customFormat="1" ht="11.85" customHeight="1">
      <c r="A60" s="935" t="s">
        <v>1207</v>
      </c>
      <c r="B60" s="733">
        <v>57.85</v>
      </c>
      <c r="C60" s="733">
        <v>56.79</v>
      </c>
      <c r="D60" s="733">
        <v>78.8</v>
      </c>
      <c r="E60" s="733">
        <v>78.7</v>
      </c>
      <c r="F60" s="733">
        <v>209.02</v>
      </c>
      <c r="G60" s="733">
        <v>208.84</v>
      </c>
      <c r="H60" s="733">
        <v>59.01</v>
      </c>
      <c r="I60" s="733">
        <v>58.59</v>
      </c>
      <c r="J60" s="733">
        <v>11.39</v>
      </c>
      <c r="K60" s="733">
        <v>11.34</v>
      </c>
      <c r="L60" s="733">
        <v>11.17</v>
      </c>
      <c r="M60" s="733">
        <v>11.14</v>
      </c>
      <c r="N60" s="733">
        <v>83.1</v>
      </c>
      <c r="O60" s="733">
        <v>82.76</v>
      </c>
      <c r="P60" s="935" t="s">
        <v>1207</v>
      </c>
      <c r="Q60" s="733">
        <v>10.16</v>
      </c>
      <c r="R60" s="733">
        <v>10.15</v>
      </c>
      <c r="S60" s="733">
        <v>1.1599999999999999</v>
      </c>
      <c r="T60" s="733">
        <v>1.1599999999999999</v>
      </c>
      <c r="U60" s="733">
        <v>0.01</v>
      </c>
      <c r="V60" s="733">
        <v>0.01</v>
      </c>
      <c r="W60" s="733">
        <v>0</v>
      </c>
      <c r="X60" s="733">
        <v>0</v>
      </c>
      <c r="Y60" s="733">
        <v>0.68</v>
      </c>
      <c r="Z60" s="733">
        <v>0.67</v>
      </c>
      <c r="AA60" s="733">
        <v>257.88</v>
      </c>
      <c r="AB60" s="733">
        <v>257.48</v>
      </c>
      <c r="AC60" s="733">
        <v>17.670000000000002</v>
      </c>
      <c r="AD60" s="733">
        <v>17.54</v>
      </c>
      <c r="AE60" s="935" t="s">
        <v>1207</v>
      </c>
      <c r="AF60" s="733">
        <v>0.06</v>
      </c>
      <c r="AG60" s="733">
        <v>0.06</v>
      </c>
      <c r="AH60" s="733">
        <v>0.73</v>
      </c>
      <c r="AI60" s="733">
        <v>0.72</v>
      </c>
      <c r="AJ60" s="733">
        <v>55.41</v>
      </c>
      <c r="AK60" s="733">
        <v>54.67</v>
      </c>
      <c r="AL60" s="733">
        <v>9.1999999999999993</v>
      </c>
      <c r="AM60" s="733">
        <v>9.11</v>
      </c>
      <c r="AN60" s="733">
        <v>204.68</v>
      </c>
      <c r="AO60" s="733">
        <v>204.36</v>
      </c>
      <c r="AP60" s="733">
        <v>0.75</v>
      </c>
      <c r="AQ60" s="733">
        <v>0.75</v>
      </c>
      <c r="AR60" s="733">
        <v>1.58</v>
      </c>
      <c r="AS60" s="733">
        <v>1.59</v>
      </c>
      <c r="AT60" s="935" t="s">
        <v>1207</v>
      </c>
      <c r="AU60" s="820">
        <v>21.64</v>
      </c>
      <c r="AV60" s="733">
        <v>21.61</v>
      </c>
      <c r="AW60" s="733">
        <v>1.27</v>
      </c>
      <c r="AX60" s="733">
        <v>1.28</v>
      </c>
      <c r="AY60" s="733">
        <v>21.01</v>
      </c>
      <c r="AZ60" s="733">
        <v>20.98</v>
      </c>
      <c r="BA60" s="733">
        <v>7.0000000000000007E-2</v>
      </c>
      <c r="BB60" s="733">
        <v>7.0000000000000007E-2</v>
      </c>
      <c r="BC60" s="733">
        <v>54.87</v>
      </c>
      <c r="BD60" s="733">
        <v>54.34</v>
      </c>
      <c r="BE60" s="733">
        <v>8.56</v>
      </c>
      <c r="BF60" s="733">
        <v>8.64</v>
      </c>
      <c r="BG60" s="733">
        <v>0.53</v>
      </c>
      <c r="BH60" s="733">
        <v>0.53</v>
      </c>
      <c r="BI60" s="935" t="s">
        <v>1207</v>
      </c>
      <c r="BJ60" s="733">
        <v>77.28</v>
      </c>
      <c r="BK60" s="733">
        <v>77.28</v>
      </c>
      <c r="BL60" s="733">
        <v>0.15</v>
      </c>
      <c r="BM60" s="733">
        <v>0.15</v>
      </c>
      <c r="BN60" s="733">
        <v>106.14</v>
      </c>
      <c r="BO60" s="733">
        <v>105.79</v>
      </c>
      <c r="BP60" s="733">
        <v>2.2000000000000002</v>
      </c>
      <c r="BQ60" s="733">
        <v>2.2000000000000002</v>
      </c>
      <c r="BR60" s="733">
        <v>21.46</v>
      </c>
      <c r="BS60" s="733">
        <v>21.43</v>
      </c>
      <c r="BT60" s="733">
        <v>78.8</v>
      </c>
      <c r="BU60" s="733">
        <v>78.7</v>
      </c>
      <c r="BV60" s="733">
        <v>98.37</v>
      </c>
      <c r="BW60" s="733">
        <v>97.11</v>
      </c>
    </row>
    <row r="61" spans="1:75" s="483" customFormat="1" ht="11.85" customHeight="1" thickBot="1">
      <c r="A61" s="1583" t="s">
        <v>1215</v>
      </c>
      <c r="B61" s="1584">
        <v>58.73</v>
      </c>
      <c r="C61" s="1584">
        <v>59.74</v>
      </c>
      <c r="D61" s="1584">
        <v>78.86</v>
      </c>
      <c r="E61" s="1584">
        <v>79.069999999999993</v>
      </c>
      <c r="F61" s="1584">
        <v>209.17</v>
      </c>
      <c r="G61" s="1584">
        <v>209.72</v>
      </c>
      <c r="H61" s="1584">
        <v>59.65</v>
      </c>
      <c r="I61" s="1584">
        <v>60.27</v>
      </c>
      <c r="J61" s="1584">
        <v>11.45</v>
      </c>
      <c r="K61" s="1584">
        <v>11.53</v>
      </c>
      <c r="L61" s="1584">
        <v>11.26</v>
      </c>
      <c r="M61" s="1584">
        <v>11.37</v>
      </c>
      <c r="N61" s="1584">
        <v>83.77</v>
      </c>
      <c r="O61" s="1584">
        <v>84.56</v>
      </c>
      <c r="P61" s="1583" t="s">
        <v>1215</v>
      </c>
      <c r="Q61" s="1584">
        <v>10.17</v>
      </c>
      <c r="R61" s="1584">
        <v>10.19</v>
      </c>
      <c r="S61" s="1584">
        <v>1.1599999999999999</v>
      </c>
      <c r="T61" s="1584">
        <v>1.17</v>
      </c>
      <c r="U61" s="1584">
        <v>0.01</v>
      </c>
      <c r="V61" s="1584">
        <v>0.01</v>
      </c>
      <c r="W61" s="1584">
        <v>0</v>
      </c>
      <c r="X61" s="1584">
        <v>0</v>
      </c>
      <c r="Y61" s="1584">
        <v>0.69</v>
      </c>
      <c r="Z61" s="1584">
        <v>0.69</v>
      </c>
      <c r="AA61" s="1584">
        <v>258.13</v>
      </c>
      <c r="AB61" s="1584">
        <v>259.44</v>
      </c>
      <c r="AC61" s="1584">
        <v>17.690000000000001</v>
      </c>
      <c r="AD61" s="1584">
        <v>17.850000000000001</v>
      </c>
      <c r="AE61" s="1583" t="s">
        <v>1215</v>
      </c>
      <c r="AF61" s="1584">
        <v>0.06</v>
      </c>
      <c r="AG61" s="1584">
        <v>0.06</v>
      </c>
      <c r="AH61" s="1584">
        <v>0.72</v>
      </c>
      <c r="AI61" s="1584">
        <v>0.73</v>
      </c>
      <c r="AJ61" s="1584">
        <v>56.09</v>
      </c>
      <c r="AK61" s="1584">
        <v>57.6</v>
      </c>
      <c r="AL61" s="1584">
        <v>9.3000000000000007</v>
      </c>
      <c r="AM61" s="1584">
        <v>9.51</v>
      </c>
      <c r="AN61" s="1584">
        <v>204.81</v>
      </c>
      <c r="AO61" s="1584">
        <v>205.36</v>
      </c>
      <c r="AP61" s="1584">
        <v>0.75</v>
      </c>
      <c r="AQ61" s="1584">
        <v>0.75</v>
      </c>
      <c r="AR61" s="1584">
        <v>1.59</v>
      </c>
      <c r="AS61" s="1584">
        <v>1.59</v>
      </c>
      <c r="AT61" s="1583" t="s">
        <v>1215</v>
      </c>
      <c r="AU61" s="1585">
        <v>21.66</v>
      </c>
      <c r="AV61" s="1584">
        <v>21.71</v>
      </c>
      <c r="AW61" s="1584">
        <v>1.32</v>
      </c>
      <c r="AX61" s="1584">
        <v>1.32</v>
      </c>
      <c r="AY61" s="1584">
        <v>21.03</v>
      </c>
      <c r="AZ61" s="1584">
        <v>21.08</v>
      </c>
      <c r="BA61" s="1584">
        <v>7.0000000000000007E-2</v>
      </c>
      <c r="BB61" s="1584">
        <v>7.0000000000000007E-2</v>
      </c>
      <c r="BC61" s="1584">
        <v>55.13</v>
      </c>
      <c r="BD61" s="1584">
        <v>55.63</v>
      </c>
      <c r="BE61" s="1584">
        <v>8.81</v>
      </c>
      <c r="BF61" s="1584">
        <v>8.9600000000000009</v>
      </c>
      <c r="BG61" s="1584">
        <v>0.53</v>
      </c>
      <c r="BH61" s="1584">
        <v>0.53</v>
      </c>
      <c r="BI61" s="1583" t="s">
        <v>1215</v>
      </c>
      <c r="BJ61" s="1584">
        <v>78.16</v>
      </c>
      <c r="BK61" s="1584">
        <v>79.45</v>
      </c>
      <c r="BL61" s="1584">
        <v>0.15</v>
      </c>
      <c r="BM61" s="1584">
        <v>0.15</v>
      </c>
      <c r="BN61" s="1584">
        <v>106.53</v>
      </c>
      <c r="BO61" s="1584">
        <v>107.09</v>
      </c>
      <c r="BP61" s="1584">
        <v>2.2200000000000002</v>
      </c>
      <c r="BQ61" s="1584">
        <v>2.25</v>
      </c>
      <c r="BR61" s="1584">
        <v>21.47</v>
      </c>
      <c r="BS61" s="1584">
        <v>21.53</v>
      </c>
      <c r="BT61" s="1584">
        <v>78.86</v>
      </c>
      <c r="BU61" s="1584">
        <v>79.069999999999993</v>
      </c>
      <c r="BV61" s="1584">
        <v>97.34</v>
      </c>
      <c r="BW61" s="1584">
        <v>98.72</v>
      </c>
    </row>
    <row r="62" spans="1:75" s="105" customFormat="1" ht="9.9499999999999993" customHeight="1">
      <c r="A62" s="1345" t="s">
        <v>1002</v>
      </c>
      <c r="B62" s="1346" t="s">
        <v>1672</v>
      </c>
      <c r="C62" s="48"/>
      <c r="D62" s="48"/>
      <c r="E62" s="48"/>
      <c r="F62" s="48"/>
      <c r="G62" s="48"/>
      <c r="H62" s="1347" t="s">
        <v>1001</v>
      </c>
      <c r="I62" s="2003" t="s">
        <v>516</v>
      </c>
      <c r="J62" s="2003"/>
      <c r="K62" s="2003"/>
      <c r="L62" s="2003"/>
      <c r="M62" s="2003"/>
      <c r="N62" s="6"/>
      <c r="O62" s="6"/>
      <c r="P62" s="1348"/>
      <c r="Q62" s="2003"/>
      <c r="R62" s="2003"/>
      <c r="S62" s="2003"/>
      <c r="T62" s="2003"/>
      <c r="U62" s="2003"/>
      <c r="V62" s="2003"/>
      <c r="AE62" s="1348" t="s">
        <v>1494</v>
      </c>
      <c r="AF62" s="2003" t="s">
        <v>2398</v>
      </c>
      <c r="AG62" s="2003"/>
      <c r="AH62" s="2003"/>
      <c r="AI62" s="2003"/>
      <c r="AJ62" s="2003"/>
      <c r="AK62" s="2003"/>
      <c r="AT62" s="189"/>
      <c r="AU62" s="2003"/>
      <c r="AV62" s="2003"/>
      <c r="AW62" s="2003"/>
      <c r="AX62" s="2003"/>
      <c r="AY62" s="2003"/>
      <c r="AZ62" s="2003"/>
      <c r="BI62" s="1348"/>
      <c r="BJ62" s="1349"/>
      <c r="BK62" s="1349"/>
      <c r="BL62" s="1349"/>
      <c r="BM62" s="1349"/>
      <c r="BN62" s="1349"/>
      <c r="BO62" s="1349"/>
      <c r="BP62" s="1349"/>
      <c r="BQ62" s="1349"/>
      <c r="BR62" s="1349"/>
      <c r="BS62" s="1349"/>
      <c r="BT62" s="1349"/>
      <c r="BU62" s="1349"/>
      <c r="BV62" s="1349"/>
      <c r="BW62" s="1349"/>
    </row>
    <row r="63" spans="1:75" s="105" customFormat="1" ht="9" customHeight="1">
      <c r="A63" s="83"/>
      <c r="B63" s="47" t="s">
        <v>1725</v>
      </c>
      <c r="P63" s="83"/>
      <c r="AE63" s="224"/>
      <c r="AT63" s="83"/>
      <c r="BI63" s="83"/>
      <c r="BJ63" s="82"/>
      <c r="BK63" s="82"/>
      <c r="BL63" s="82"/>
      <c r="BM63" s="82"/>
      <c r="BN63" s="82"/>
      <c r="BO63" s="82"/>
      <c r="BP63" s="82"/>
      <c r="BQ63" s="82"/>
      <c r="BR63" s="82"/>
      <c r="BS63" s="82"/>
      <c r="BT63" s="82"/>
      <c r="BU63" s="82"/>
      <c r="BV63" s="82"/>
      <c r="BW63" s="82"/>
    </row>
    <row r="64" spans="1:75" s="105" customFormat="1" ht="9" customHeight="1">
      <c r="A64" s="83"/>
      <c r="B64" s="359" t="s">
        <v>1726</v>
      </c>
      <c r="C64" s="132"/>
      <c r="D64" s="132"/>
      <c r="E64" s="132"/>
      <c r="F64" s="132"/>
      <c r="G64" s="132"/>
      <c r="P64" s="83"/>
      <c r="AE64" s="83"/>
      <c r="AT64" s="83"/>
      <c r="BI64" s="83"/>
      <c r="BJ64" s="82"/>
      <c r="BK64" s="82"/>
      <c r="BL64" s="82"/>
      <c r="BM64" s="82"/>
      <c r="BN64" s="82"/>
      <c r="BO64" s="82"/>
      <c r="BP64" s="82"/>
      <c r="BQ64" s="82"/>
      <c r="BR64" s="82"/>
      <c r="BS64" s="82"/>
      <c r="BT64" s="82"/>
      <c r="BU64" s="82"/>
      <c r="BV64" s="82"/>
      <c r="BW64" s="82"/>
    </row>
    <row r="65" spans="1:75" s="105" customFormat="1" ht="9" customHeight="1">
      <c r="A65" s="83"/>
      <c r="B65" s="47" t="s">
        <v>1727</v>
      </c>
      <c r="P65" s="83"/>
      <c r="AE65" s="83"/>
      <c r="AT65" s="83"/>
      <c r="BI65" s="83"/>
    </row>
    <row r="66" spans="1:75">
      <c r="B66" s="8" t="s">
        <v>2844</v>
      </c>
    </row>
    <row r="68" spans="1:75">
      <c r="B68" s="307"/>
      <c r="C68" s="307"/>
      <c r="D68" s="307"/>
      <c r="E68" s="307"/>
      <c r="F68" s="307"/>
      <c r="G68" s="307"/>
      <c r="H68" s="307"/>
      <c r="I68" s="307"/>
      <c r="J68" s="307"/>
      <c r="K68" s="307"/>
      <c r="L68" s="307"/>
      <c r="M68" s="307"/>
      <c r="N68" s="307"/>
      <c r="O68" s="307"/>
      <c r="P68" s="307"/>
      <c r="Q68" s="307"/>
      <c r="R68" s="307"/>
      <c r="S68" s="307"/>
      <c r="T68" s="307"/>
      <c r="U68" s="307"/>
      <c r="V68" s="307"/>
      <c r="W68" s="307"/>
      <c r="X68" s="307"/>
      <c r="Y68" s="307"/>
      <c r="Z68" s="307"/>
      <c r="AA68" s="307"/>
      <c r="AB68" s="307"/>
      <c r="AC68" s="307"/>
      <c r="AD68" s="307"/>
      <c r="AE68" s="307"/>
      <c r="AF68" s="307"/>
      <c r="AG68" s="307"/>
      <c r="AH68" s="307"/>
      <c r="AI68" s="307"/>
      <c r="AJ68" s="307"/>
      <c r="AK68" s="307"/>
      <c r="AL68" s="307"/>
      <c r="AM68" s="307"/>
      <c r="AN68" s="307"/>
      <c r="AO68" s="307"/>
      <c r="AP68" s="307"/>
      <c r="AQ68" s="307"/>
      <c r="AR68" s="307"/>
      <c r="AS68" s="307"/>
      <c r="AT68" s="307"/>
      <c r="AU68" s="307"/>
      <c r="AV68" s="307"/>
      <c r="AW68" s="307"/>
      <c r="AX68" s="307"/>
      <c r="AY68" s="307"/>
      <c r="AZ68" s="307"/>
      <c r="BA68" s="307"/>
      <c r="BB68" s="307"/>
      <c r="BC68" s="307"/>
      <c r="BD68" s="307"/>
      <c r="BE68" s="307"/>
      <c r="BF68" s="307"/>
      <c r="BG68" s="307"/>
      <c r="BH68" s="307"/>
      <c r="BI68" s="307"/>
      <c r="BJ68" s="307"/>
      <c r="BK68" s="307"/>
      <c r="BL68" s="307"/>
      <c r="BM68" s="307"/>
      <c r="BN68" s="307"/>
      <c r="BO68" s="307"/>
      <c r="BP68" s="307"/>
      <c r="BQ68" s="307"/>
      <c r="BR68" s="307"/>
      <c r="BS68" s="307"/>
      <c r="BT68" s="307"/>
      <c r="BU68" s="307"/>
      <c r="BV68" s="307"/>
      <c r="BW68" s="307"/>
    </row>
    <row r="69" spans="1:75">
      <c r="B69" s="307"/>
      <c r="C69" s="307"/>
      <c r="D69" s="307"/>
      <c r="E69" s="307"/>
      <c r="F69" s="307"/>
      <c r="G69" s="307"/>
      <c r="H69" s="307"/>
      <c r="I69" s="307"/>
      <c r="J69" s="307"/>
      <c r="K69" s="307"/>
      <c r="L69" s="307"/>
      <c r="M69" s="307"/>
      <c r="N69" s="307"/>
      <c r="O69" s="307"/>
      <c r="P69" s="307"/>
      <c r="Q69" s="307"/>
      <c r="R69" s="307"/>
      <c r="S69" s="307"/>
      <c r="T69" s="307"/>
      <c r="U69" s="307"/>
      <c r="V69" s="307"/>
      <c r="W69" s="307"/>
      <c r="X69" s="307"/>
      <c r="Y69" s="307"/>
      <c r="Z69" s="307"/>
      <c r="AA69" s="307"/>
      <c r="AB69" s="307"/>
      <c r="AC69" s="307"/>
      <c r="AD69" s="307"/>
      <c r="AE69" s="307"/>
      <c r="AF69" s="307"/>
      <c r="AG69" s="307"/>
      <c r="AH69" s="307"/>
      <c r="AI69" s="307"/>
      <c r="AJ69" s="307"/>
      <c r="AK69" s="307"/>
      <c r="AL69" s="307"/>
      <c r="AM69" s="307"/>
      <c r="AN69" s="307"/>
      <c r="AO69" s="307"/>
      <c r="AP69" s="307"/>
      <c r="AQ69" s="307"/>
      <c r="AR69" s="307"/>
      <c r="AS69" s="307"/>
      <c r="AT69" s="307"/>
      <c r="AU69" s="307"/>
      <c r="AV69" s="307"/>
      <c r="AW69" s="307"/>
      <c r="AX69" s="307"/>
      <c r="AY69" s="307"/>
      <c r="AZ69" s="307"/>
      <c r="BA69" s="307"/>
      <c r="BB69" s="307"/>
      <c r="BC69" s="307"/>
      <c r="BD69" s="307"/>
      <c r="BE69" s="307"/>
      <c r="BF69" s="307"/>
      <c r="BG69" s="307"/>
      <c r="BH69" s="307"/>
      <c r="BI69" s="307"/>
      <c r="BJ69" s="307"/>
      <c r="BK69" s="307"/>
      <c r="BL69" s="307"/>
      <c r="BM69" s="307"/>
      <c r="BN69" s="307"/>
      <c r="BO69" s="307"/>
      <c r="BP69" s="307"/>
      <c r="BQ69" s="307"/>
      <c r="BR69" s="307"/>
      <c r="BS69" s="307"/>
      <c r="BT69" s="307"/>
      <c r="BU69" s="307"/>
      <c r="BV69" s="307"/>
      <c r="BW69" s="307"/>
    </row>
  </sheetData>
  <mergeCells count="125">
    <mergeCell ref="BW4:BW5"/>
    <mergeCell ref="I62:M62"/>
    <mergeCell ref="Q62:V62"/>
    <mergeCell ref="AF62:AK62"/>
    <mergeCell ref="AU62:AZ62"/>
    <mergeCell ref="BQ4:BQ5"/>
    <mergeCell ref="BR4:BR5"/>
    <mergeCell ref="BS4:BS5"/>
    <mergeCell ref="BT4:BT5"/>
    <mergeCell ref="BU4:BU5"/>
    <mergeCell ref="BV4:BV5"/>
    <mergeCell ref="BK4:BK5"/>
    <mergeCell ref="BL4:BL5"/>
    <mergeCell ref="BM4:BM5"/>
    <mergeCell ref="BN4:BN5"/>
    <mergeCell ref="BO4:BO5"/>
    <mergeCell ref="BP4:BP5"/>
    <mergeCell ref="AZ4:AZ5"/>
    <mergeCell ref="BA4:BA5"/>
    <mergeCell ref="BB4:BB5"/>
    <mergeCell ref="BC4:BC5"/>
    <mergeCell ref="BD4:BD5"/>
    <mergeCell ref="BE4:BE5"/>
    <mergeCell ref="AO4:AO5"/>
    <mergeCell ref="Z4:Z5"/>
    <mergeCell ref="AA4:AA5"/>
    <mergeCell ref="AP4:AP5"/>
    <mergeCell ref="AQ4:AQ5"/>
    <mergeCell ref="AR4:AR5"/>
    <mergeCell ref="AS4:AS5"/>
    <mergeCell ref="AU4:AU5"/>
    <mergeCell ref="AI4:AI5"/>
    <mergeCell ref="AJ4:AJ5"/>
    <mergeCell ref="AK4:AK5"/>
    <mergeCell ref="AL4:AL5"/>
    <mergeCell ref="AM4:AM5"/>
    <mergeCell ref="AN4:AN5"/>
    <mergeCell ref="BP3:BQ3"/>
    <mergeCell ref="BR3:BS3"/>
    <mergeCell ref="AW4:AW5"/>
    <mergeCell ref="AX4:AX5"/>
    <mergeCell ref="AY4:AY5"/>
    <mergeCell ref="AF3:AG3"/>
    <mergeCell ref="AH3:AI3"/>
    <mergeCell ref="AJ3:AK3"/>
    <mergeCell ref="AL3:AM3"/>
    <mergeCell ref="AN3:AO3"/>
    <mergeCell ref="AP3:AQ3"/>
    <mergeCell ref="AF4:AF5"/>
    <mergeCell ref="AG4:AG5"/>
    <mergeCell ref="AH4:AH5"/>
    <mergeCell ref="BA3:BB3"/>
    <mergeCell ref="AV4:AV5"/>
    <mergeCell ref="I4:I5"/>
    <mergeCell ref="J4:J5"/>
    <mergeCell ref="K4:K5"/>
    <mergeCell ref="L4:L5"/>
    <mergeCell ref="BN3:BO3"/>
    <mergeCell ref="U3:V3"/>
    <mergeCell ref="W3:X3"/>
    <mergeCell ref="Y3:Z3"/>
    <mergeCell ref="AA3:AB3"/>
    <mergeCell ref="AC3:AD3"/>
    <mergeCell ref="AE3:AE6"/>
    <mergeCell ref="AB4:AB5"/>
    <mergeCell ref="AC4:AC5"/>
    <mergeCell ref="AD4:AD5"/>
    <mergeCell ref="R4:R5"/>
    <mergeCell ref="S4:S5"/>
    <mergeCell ref="T4:T5"/>
    <mergeCell ref="U4:U5"/>
    <mergeCell ref="V4:V5"/>
    <mergeCell ref="W4:W5"/>
    <mergeCell ref="O4:O5"/>
    <mergeCell ref="Q4:Q5"/>
    <mergeCell ref="X4:X5"/>
    <mergeCell ref="Y4:Y5"/>
    <mergeCell ref="BT3:BU3"/>
    <mergeCell ref="BV3:BW3"/>
    <mergeCell ref="B4:B5"/>
    <mergeCell ref="C4:C5"/>
    <mergeCell ref="D4:D5"/>
    <mergeCell ref="E4:E5"/>
    <mergeCell ref="F4:F5"/>
    <mergeCell ref="BC3:BD3"/>
    <mergeCell ref="BE3:BF3"/>
    <mergeCell ref="BG3:BH3"/>
    <mergeCell ref="BI3:BI6"/>
    <mergeCell ref="BJ3:BK3"/>
    <mergeCell ref="BL3:BM3"/>
    <mergeCell ref="BF4:BF5"/>
    <mergeCell ref="BG4:BG5"/>
    <mergeCell ref="BH4:BH5"/>
    <mergeCell ref="BJ4:BJ5"/>
    <mergeCell ref="AR3:AS3"/>
    <mergeCell ref="AT3:AT6"/>
    <mergeCell ref="AU3:AV3"/>
    <mergeCell ref="AW3:AX3"/>
    <mergeCell ref="AY3:AZ3"/>
    <mergeCell ref="G4:G5"/>
    <mergeCell ref="H4:H5"/>
    <mergeCell ref="AY1:AZ1"/>
    <mergeCell ref="BF1:BH1"/>
    <mergeCell ref="BN1:BO1"/>
    <mergeCell ref="BU1:BW1"/>
    <mergeCell ref="AC2:AD2"/>
    <mergeCell ref="A3:A6"/>
    <mergeCell ref="B3:C3"/>
    <mergeCell ref="D3:E3"/>
    <mergeCell ref="F3:G3"/>
    <mergeCell ref="H3:I3"/>
    <mergeCell ref="F1:G1"/>
    <mergeCell ref="M1:O1"/>
    <mergeCell ref="U1:V1"/>
    <mergeCell ref="AB1:AD1"/>
    <mergeCell ref="AJ1:AK1"/>
    <mergeCell ref="AQ1:AS1"/>
    <mergeCell ref="J3:K3"/>
    <mergeCell ref="L3:M3"/>
    <mergeCell ref="N3:O3"/>
    <mergeCell ref="P3:P6"/>
    <mergeCell ref="Q3:R3"/>
    <mergeCell ref="S3:T3"/>
    <mergeCell ref="M4:M5"/>
    <mergeCell ref="N4:N5"/>
  </mergeCells>
  <pageMargins left="0.70866141732283505" right="0.70866141732283505" top="0.74803149606299202" bottom="0.74803149606299202" header="0.31496062992126" footer="0.511811023622047"/>
  <pageSetup paperSize="512" firstPageNumber="86" orientation="portrait" useFirstPageNumber="1" r:id="rId1"/>
  <headerFooter>
    <oddFooter>&amp;C&amp;"Times New Roman,Regular"&amp;8&amp;P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72"/>
  <sheetViews>
    <sheetView zoomScaleNormal="100" workbookViewId="0">
      <pane xSplit="1" ySplit="3" topLeftCell="B48" activePane="bottomRight" state="frozen"/>
      <selection pane="topRight" activeCell="B1" sqref="B1"/>
      <selection pane="bottomLeft" activeCell="A4" sqref="A4"/>
      <selection pane="bottomRight" activeCell="A6" sqref="A6:XFD6"/>
    </sheetView>
  </sheetViews>
  <sheetFormatPr defaultColWidth="9.140625" defaultRowHeight="11.25"/>
  <cols>
    <col min="1" max="1" width="12.7109375" style="10" customWidth="1"/>
    <col min="2" max="2" width="9.42578125" style="10" customWidth="1"/>
    <col min="3" max="3" width="10.140625" style="10" customWidth="1"/>
    <col min="4" max="4" width="9.140625" style="10" customWidth="1"/>
    <col min="5" max="5" width="8.140625" style="10" customWidth="1"/>
    <col min="6" max="6" width="8.85546875" style="10" customWidth="1"/>
    <col min="7" max="7" width="8.42578125" style="10" customWidth="1"/>
    <col min="8" max="8" width="7.7109375" style="10" customWidth="1"/>
    <col min="9" max="9" width="8.42578125" style="10" customWidth="1"/>
    <col min="10" max="10" width="7.28515625" style="10" customWidth="1"/>
    <col min="11" max="11" width="7.140625" style="10" customWidth="1"/>
    <col min="12" max="12" width="7.7109375" style="10" customWidth="1"/>
    <col min="13" max="13" width="7.85546875" style="10" customWidth="1"/>
    <col min="14" max="14" width="7.5703125" style="10" customWidth="1"/>
    <col min="15" max="15" width="7.42578125" style="10" customWidth="1"/>
    <col min="16" max="17" width="7.28515625" style="10" customWidth="1"/>
    <col min="18" max="18" width="9" style="10" customWidth="1"/>
    <col min="19" max="19" width="9.28515625" style="10" customWidth="1"/>
    <col min="20" max="20" width="8.28515625" style="10" customWidth="1"/>
    <col min="21" max="21" width="8.42578125" style="10" customWidth="1"/>
    <col min="22" max="22" width="8.5703125" style="10" customWidth="1"/>
    <col min="23" max="23" width="8.28515625" style="10" customWidth="1"/>
    <col min="24" max="24" width="8.85546875" style="10" customWidth="1"/>
    <col min="25" max="25" width="8.140625" style="10" customWidth="1"/>
    <col min="26" max="26" width="8.5703125" style="10" customWidth="1"/>
    <col min="27" max="27" width="9" style="10" customWidth="1"/>
    <col min="28" max="28" width="9.140625" style="10" customWidth="1"/>
    <col min="29" max="29" width="8.5703125" style="10" customWidth="1"/>
    <col min="30" max="30" width="9.42578125" style="10" customWidth="1"/>
    <col min="31" max="31" width="9" style="10" customWidth="1"/>
    <col min="32" max="32" width="8.28515625" style="10" customWidth="1"/>
    <col min="33" max="33" width="7.7109375" style="10" customWidth="1"/>
    <col min="34" max="34" width="8.5703125" style="10" customWidth="1"/>
    <col min="35" max="35" width="7.42578125" style="10" customWidth="1"/>
    <col min="36" max="36" width="8.5703125" style="10" customWidth="1"/>
    <col min="37" max="37" width="10" style="10" customWidth="1"/>
    <col min="38" max="38" width="13.28515625" style="10" customWidth="1"/>
    <col min="39" max="39" width="15.42578125" style="10" customWidth="1"/>
    <col min="40" max="40" width="12.7109375" style="10" customWidth="1"/>
    <col min="41" max="42" width="9.140625" style="10"/>
    <col min="43" max="43" width="12.140625" style="10" customWidth="1"/>
    <col min="44" max="16384" width="9.140625" style="10"/>
  </cols>
  <sheetData>
    <row r="1" spans="1:36" s="220" customFormat="1" ht="15" customHeight="1">
      <c r="A1" s="2167" t="s">
        <v>895</v>
      </c>
      <c r="B1" s="2167"/>
      <c r="C1" s="2167"/>
      <c r="D1" s="2167"/>
      <c r="E1" s="2167"/>
      <c r="F1" s="2167"/>
      <c r="G1" s="2167"/>
      <c r="H1" s="2167"/>
      <c r="I1" s="2168" t="s">
        <v>896</v>
      </c>
      <c r="J1" s="2168"/>
      <c r="K1" s="2168"/>
      <c r="L1" s="2168"/>
      <c r="M1" s="2168"/>
      <c r="N1" s="2168"/>
      <c r="O1" s="668"/>
      <c r="P1" s="2166" t="s">
        <v>2461</v>
      </c>
      <c r="Q1" s="2166"/>
      <c r="R1" s="2166"/>
      <c r="S1" s="2167" t="s">
        <v>1840</v>
      </c>
      <c r="T1" s="2167"/>
      <c r="U1" s="2167"/>
      <c r="V1" s="2167"/>
      <c r="W1" s="2167"/>
      <c r="X1" s="2167"/>
      <c r="Y1" s="2167"/>
      <c r="Z1" s="2167"/>
      <c r="AA1" s="2167"/>
      <c r="AB1" s="2168" t="s">
        <v>896</v>
      </c>
      <c r="AC1" s="2168"/>
      <c r="AD1" s="2168"/>
      <c r="AE1" s="2168"/>
      <c r="AF1" s="2168"/>
      <c r="AG1" s="668"/>
      <c r="AH1" s="2166" t="s">
        <v>2462</v>
      </c>
      <c r="AI1" s="2166"/>
      <c r="AJ1" s="2166"/>
    </row>
    <row r="2" spans="1:36" s="24" customFormat="1" ht="10.5" customHeight="1">
      <c r="A2" s="66"/>
      <c r="B2" s="66"/>
      <c r="C2" s="66"/>
      <c r="E2" s="207"/>
      <c r="H2" s="110"/>
      <c r="I2" s="120"/>
      <c r="J2" s="110"/>
      <c r="K2" s="110"/>
      <c r="L2" s="110"/>
      <c r="M2" s="110"/>
      <c r="N2" s="110"/>
      <c r="O2" s="66"/>
      <c r="P2" s="66"/>
      <c r="Q2" s="2136" t="s">
        <v>1292</v>
      </c>
      <c r="R2" s="2136"/>
      <c r="W2" s="207"/>
      <c r="AI2" s="2136" t="s">
        <v>1292</v>
      </c>
      <c r="AJ2" s="2136"/>
    </row>
    <row r="3" spans="1:36" s="138" customFormat="1" ht="39" customHeight="1">
      <c r="A3" s="29" t="s">
        <v>2010</v>
      </c>
      <c r="B3" s="29" t="s">
        <v>1293</v>
      </c>
      <c r="C3" s="29" t="s">
        <v>989</v>
      </c>
      <c r="D3" s="29" t="s">
        <v>1167</v>
      </c>
      <c r="E3" s="29" t="s">
        <v>1168</v>
      </c>
      <c r="F3" s="29" t="s">
        <v>1818</v>
      </c>
      <c r="G3" s="29" t="s">
        <v>1819</v>
      </c>
      <c r="H3" s="29" t="s">
        <v>872</v>
      </c>
      <c r="I3" s="29" t="s">
        <v>1820</v>
      </c>
      <c r="J3" s="29" t="s">
        <v>1170</v>
      </c>
      <c r="K3" s="29" t="s">
        <v>1821</v>
      </c>
      <c r="L3" s="29" t="s">
        <v>573</v>
      </c>
      <c r="M3" s="29" t="s">
        <v>1822</v>
      </c>
      <c r="N3" s="29" t="s">
        <v>1823</v>
      </c>
      <c r="O3" s="29" t="s">
        <v>1824</v>
      </c>
      <c r="P3" s="29" t="s">
        <v>1825</v>
      </c>
      <c r="Q3" s="29" t="s">
        <v>1173</v>
      </c>
      <c r="R3" s="29" t="s">
        <v>1174</v>
      </c>
      <c r="S3" s="29" t="s">
        <v>2005</v>
      </c>
      <c r="T3" s="29" t="s">
        <v>1826</v>
      </c>
      <c r="U3" s="29" t="s">
        <v>1176</v>
      </c>
      <c r="V3" s="29" t="s">
        <v>1827</v>
      </c>
      <c r="W3" s="29" t="s">
        <v>1828</v>
      </c>
      <c r="X3" s="29" t="s">
        <v>1647</v>
      </c>
      <c r="Y3" s="29" t="s">
        <v>1829</v>
      </c>
      <c r="Z3" s="29" t="s">
        <v>1830</v>
      </c>
      <c r="AA3" s="29" t="s">
        <v>990</v>
      </c>
      <c r="AB3" s="29" t="s">
        <v>1831</v>
      </c>
      <c r="AC3" s="29" t="s">
        <v>1832</v>
      </c>
      <c r="AD3" s="142" t="s">
        <v>1833</v>
      </c>
      <c r="AE3" s="29" t="s">
        <v>1648</v>
      </c>
      <c r="AF3" s="29" t="s">
        <v>1295</v>
      </c>
      <c r="AG3" s="29" t="s">
        <v>991</v>
      </c>
      <c r="AH3" s="29" t="s">
        <v>1834</v>
      </c>
      <c r="AI3" s="29" t="s">
        <v>1835</v>
      </c>
      <c r="AJ3" s="29" t="s">
        <v>1836</v>
      </c>
    </row>
    <row r="4" spans="1:36" ht="10.5" hidden="1" customHeight="1">
      <c r="A4" s="552" t="s">
        <v>1195</v>
      </c>
      <c r="B4" s="580">
        <v>-1.9</v>
      </c>
      <c r="C4" s="580">
        <v>0.37</v>
      </c>
      <c r="D4" s="580">
        <v>0</v>
      </c>
      <c r="E4" s="580">
        <v>1.1299999999999999</v>
      </c>
      <c r="F4" s="580">
        <v>4.26</v>
      </c>
      <c r="G4" s="580">
        <v>14.14</v>
      </c>
      <c r="H4" s="580">
        <v>8.6999999999999993</v>
      </c>
      <c r="I4" s="580">
        <v>-0.13</v>
      </c>
      <c r="J4" s="580">
        <v>0</v>
      </c>
      <c r="K4" s="580">
        <v>-2.75</v>
      </c>
      <c r="L4" s="580">
        <v>0.22</v>
      </c>
      <c r="M4" s="580">
        <v>17.37</v>
      </c>
      <c r="N4" s="580">
        <v>-1.43</v>
      </c>
      <c r="O4" s="580">
        <v>6.54</v>
      </c>
      <c r="P4" s="580">
        <v>7.87</v>
      </c>
      <c r="Q4" s="580">
        <v>-2.5099999999999998</v>
      </c>
      <c r="R4" s="580">
        <v>12.42</v>
      </c>
      <c r="S4" s="552" t="s">
        <v>1195</v>
      </c>
      <c r="T4" s="580">
        <v>11.46</v>
      </c>
      <c r="U4" s="580">
        <v>0.01</v>
      </c>
      <c r="V4" s="580">
        <v>0.32</v>
      </c>
      <c r="W4" s="580">
        <v>4.91</v>
      </c>
      <c r="X4" s="580">
        <v>0</v>
      </c>
      <c r="Y4" s="580">
        <v>-56.05</v>
      </c>
      <c r="Z4" s="580">
        <v>-0.01</v>
      </c>
      <c r="AA4" s="580">
        <v>6.12</v>
      </c>
      <c r="AB4" s="580">
        <v>8.68</v>
      </c>
      <c r="AC4" s="580">
        <v>5.56</v>
      </c>
      <c r="AD4" s="580">
        <v>-2.09</v>
      </c>
      <c r="AE4" s="580">
        <v>14.5</v>
      </c>
      <c r="AF4" s="580">
        <v>-50.84</v>
      </c>
      <c r="AG4" s="580">
        <v>7.99</v>
      </c>
      <c r="AH4" s="580">
        <v>1.18</v>
      </c>
      <c r="AI4" s="580">
        <v>0.01</v>
      </c>
      <c r="AJ4" s="580">
        <v>1.48</v>
      </c>
    </row>
    <row r="5" spans="1:36" ht="10.5" hidden="1" customHeight="1">
      <c r="A5" s="12" t="s">
        <v>1196</v>
      </c>
      <c r="B5" s="19">
        <v>9.9499999999999993</v>
      </c>
      <c r="C5" s="19">
        <v>-3.95</v>
      </c>
      <c r="D5" s="19">
        <v>0</v>
      </c>
      <c r="E5" s="19">
        <v>0.79</v>
      </c>
      <c r="F5" s="19">
        <v>-0.25</v>
      </c>
      <c r="G5" s="19">
        <v>-7.2</v>
      </c>
      <c r="H5" s="19">
        <v>-5.72</v>
      </c>
      <c r="I5" s="19">
        <v>-0.03</v>
      </c>
      <c r="J5" s="19">
        <v>-12.54</v>
      </c>
      <c r="K5" s="19">
        <v>-4.0999999999999996</v>
      </c>
      <c r="L5" s="19">
        <v>-41.83</v>
      </c>
      <c r="M5" s="19">
        <v>-21.94</v>
      </c>
      <c r="N5" s="19">
        <v>-0.05</v>
      </c>
      <c r="O5" s="19">
        <v>-2.1800000000000002</v>
      </c>
      <c r="P5" s="19">
        <v>-9.49</v>
      </c>
      <c r="Q5" s="19">
        <v>0</v>
      </c>
      <c r="R5" s="19">
        <v>2.3199999999999998</v>
      </c>
      <c r="S5" s="12" t="s">
        <v>1196</v>
      </c>
      <c r="T5" s="19">
        <v>4.41</v>
      </c>
      <c r="U5" s="19">
        <v>-0.01</v>
      </c>
      <c r="V5" s="19">
        <v>-12.92</v>
      </c>
      <c r="W5" s="19">
        <v>-2.57</v>
      </c>
      <c r="X5" s="19">
        <v>-0.01</v>
      </c>
      <c r="Y5" s="19">
        <v>0</v>
      </c>
      <c r="Z5" s="19">
        <v>0.01</v>
      </c>
      <c r="AA5" s="19">
        <v>-6.07</v>
      </c>
      <c r="AB5" s="19">
        <v>-0.6</v>
      </c>
      <c r="AC5" s="19">
        <v>-9.5</v>
      </c>
      <c r="AD5" s="19">
        <v>-9.73</v>
      </c>
      <c r="AE5" s="19">
        <v>-7.52</v>
      </c>
      <c r="AF5" s="19">
        <v>0.52</v>
      </c>
      <c r="AG5" s="19">
        <v>-7.84</v>
      </c>
      <c r="AH5" s="19">
        <v>-2.88</v>
      </c>
      <c r="AI5" s="19">
        <v>-0.02</v>
      </c>
      <c r="AJ5" s="19">
        <v>-1.43</v>
      </c>
    </row>
    <row r="6" spans="1:36" ht="10.5" hidden="1" customHeight="1">
      <c r="A6" s="552" t="s">
        <v>1197</v>
      </c>
      <c r="B6" s="580">
        <v>-4.92</v>
      </c>
      <c r="C6" s="580">
        <v>-4.3499999999999996</v>
      </c>
      <c r="D6" s="580">
        <v>0.16</v>
      </c>
      <c r="E6" s="580">
        <v>-2.15</v>
      </c>
      <c r="F6" s="580">
        <v>0.36</v>
      </c>
      <c r="G6" s="580">
        <v>5.19</v>
      </c>
      <c r="H6" s="580">
        <v>-8.3699999999999992</v>
      </c>
      <c r="I6" s="580">
        <v>-0.11</v>
      </c>
      <c r="J6" s="580">
        <v>0.36</v>
      </c>
      <c r="K6" s="580">
        <v>-4.34</v>
      </c>
      <c r="L6" s="580">
        <v>0</v>
      </c>
      <c r="M6" s="580">
        <v>-3.68</v>
      </c>
      <c r="N6" s="580">
        <v>-0.7</v>
      </c>
      <c r="O6" s="580">
        <v>-1.1299999999999999</v>
      </c>
      <c r="P6" s="580">
        <v>17.190000000000001</v>
      </c>
      <c r="Q6" s="580">
        <v>-11.79</v>
      </c>
      <c r="R6" s="580">
        <v>-0.85</v>
      </c>
      <c r="S6" s="552" t="s">
        <v>1197</v>
      </c>
      <c r="T6" s="580">
        <v>-10.63</v>
      </c>
      <c r="U6" s="580">
        <v>0.1</v>
      </c>
      <c r="V6" s="580">
        <v>-13.4</v>
      </c>
      <c r="W6" s="580">
        <v>-0.69</v>
      </c>
      <c r="X6" s="580">
        <v>0.01</v>
      </c>
      <c r="Y6" s="580">
        <v>-21.5</v>
      </c>
      <c r="Z6" s="580">
        <v>-0.01</v>
      </c>
      <c r="AA6" s="580">
        <v>-8.93</v>
      </c>
      <c r="AB6" s="580">
        <v>-1.1000000000000001</v>
      </c>
      <c r="AC6" s="580">
        <v>-14.01</v>
      </c>
      <c r="AD6" s="580">
        <v>6.04</v>
      </c>
      <c r="AE6" s="580">
        <v>-12.76</v>
      </c>
      <c r="AF6" s="580">
        <v>3.71</v>
      </c>
      <c r="AG6" s="580">
        <v>-3.39</v>
      </c>
      <c r="AH6" s="580">
        <v>3.6</v>
      </c>
      <c r="AI6" s="580">
        <v>0.02</v>
      </c>
      <c r="AJ6" s="580">
        <v>7.12</v>
      </c>
    </row>
    <row r="7" spans="1:36" ht="10.5" customHeight="1">
      <c r="A7" s="12" t="s">
        <v>1198</v>
      </c>
      <c r="B7" s="19">
        <v>-18.21</v>
      </c>
      <c r="C7" s="19">
        <v>-5.72</v>
      </c>
      <c r="D7" s="19">
        <v>-0.41</v>
      </c>
      <c r="E7" s="19">
        <v>-5.22</v>
      </c>
      <c r="F7" s="19">
        <v>0.15</v>
      </c>
      <c r="G7" s="19">
        <v>-19.02</v>
      </c>
      <c r="H7" s="19">
        <v>-4.1500000000000004</v>
      </c>
      <c r="I7" s="19">
        <v>0.02</v>
      </c>
      <c r="J7" s="19">
        <v>-15.81</v>
      </c>
      <c r="K7" s="19">
        <v>63.77</v>
      </c>
      <c r="L7" s="19">
        <v>71.430000000000007</v>
      </c>
      <c r="M7" s="19">
        <v>-19.600000000000001</v>
      </c>
      <c r="N7" s="19">
        <v>-1.72</v>
      </c>
      <c r="O7" s="19">
        <v>-39.4</v>
      </c>
      <c r="P7" s="19">
        <v>-20.04</v>
      </c>
      <c r="Q7" s="19">
        <v>-16.53</v>
      </c>
      <c r="R7" s="19">
        <v>-24.44</v>
      </c>
      <c r="S7" s="12" t="s">
        <v>1198</v>
      </c>
      <c r="T7" s="19">
        <v>-5.15</v>
      </c>
      <c r="U7" s="19">
        <v>-0.08</v>
      </c>
      <c r="V7" s="19">
        <v>-12.26</v>
      </c>
      <c r="W7" s="19">
        <v>-36.909999999999997</v>
      </c>
      <c r="X7" s="19">
        <v>0</v>
      </c>
      <c r="Y7" s="19">
        <v>-6.92</v>
      </c>
      <c r="Z7" s="19">
        <v>0</v>
      </c>
      <c r="AA7" s="19">
        <v>-35</v>
      </c>
      <c r="AB7" s="19">
        <v>16.88</v>
      </c>
      <c r="AC7" s="19">
        <v>-2.98</v>
      </c>
      <c r="AD7" s="19">
        <v>-19.84</v>
      </c>
      <c r="AE7" s="19">
        <v>-5.66</v>
      </c>
      <c r="AF7" s="19">
        <v>-33.33</v>
      </c>
      <c r="AG7" s="19">
        <v>-4.4000000000000004</v>
      </c>
      <c r="AH7" s="19">
        <v>-42.21</v>
      </c>
      <c r="AI7" s="19">
        <v>0.04</v>
      </c>
      <c r="AJ7" s="19">
        <v>0.17</v>
      </c>
    </row>
    <row r="8" spans="1:36" ht="10.5" customHeight="1">
      <c r="A8" s="552" t="s">
        <v>1199</v>
      </c>
      <c r="B8" s="580">
        <v>7.76</v>
      </c>
      <c r="C8" s="580">
        <v>-4.54</v>
      </c>
      <c r="D8" s="580">
        <v>0.27</v>
      </c>
      <c r="E8" s="580">
        <v>-0.41</v>
      </c>
      <c r="F8" s="580">
        <v>0.01</v>
      </c>
      <c r="G8" s="580">
        <v>-4.18</v>
      </c>
      <c r="H8" s="580">
        <v>-5.35</v>
      </c>
      <c r="I8" s="580">
        <v>-0.13</v>
      </c>
      <c r="J8" s="580">
        <v>-1.85</v>
      </c>
      <c r="K8" s="580">
        <v>-77.790000000000006</v>
      </c>
      <c r="L8" s="580">
        <v>-0.14000000000000001</v>
      </c>
      <c r="M8" s="580">
        <v>17.04</v>
      </c>
      <c r="N8" s="580">
        <v>0.36</v>
      </c>
      <c r="O8" s="580">
        <v>9.58</v>
      </c>
      <c r="P8" s="580">
        <v>0.5</v>
      </c>
      <c r="Q8" s="580">
        <v>-0.22</v>
      </c>
      <c r="R8" s="580">
        <v>3.34</v>
      </c>
      <c r="S8" s="552" t="s">
        <v>1199</v>
      </c>
      <c r="T8" s="580">
        <v>-2.39</v>
      </c>
      <c r="U8" s="580">
        <v>0.03</v>
      </c>
      <c r="V8" s="580">
        <v>-10.41</v>
      </c>
      <c r="W8" s="580">
        <v>10.43</v>
      </c>
      <c r="X8" s="580">
        <v>0.04</v>
      </c>
      <c r="Y8" s="580">
        <v>-74.47</v>
      </c>
      <c r="Z8" s="580">
        <v>0</v>
      </c>
      <c r="AA8" s="580">
        <v>18.77</v>
      </c>
      <c r="AB8" s="580">
        <v>0.8</v>
      </c>
      <c r="AC8" s="580">
        <v>-5.8</v>
      </c>
      <c r="AD8" s="580">
        <v>-8.77</v>
      </c>
      <c r="AE8" s="580">
        <v>-1.71</v>
      </c>
      <c r="AF8" s="580">
        <v>9.09</v>
      </c>
      <c r="AG8" s="580">
        <v>0.31</v>
      </c>
      <c r="AH8" s="580">
        <v>15.11</v>
      </c>
      <c r="AI8" s="580">
        <v>-0.01</v>
      </c>
      <c r="AJ8" s="580">
        <v>-5.62</v>
      </c>
    </row>
    <row r="9" spans="1:36" ht="10.5" customHeight="1">
      <c r="A9" s="12" t="s">
        <v>1200</v>
      </c>
      <c r="B9" s="19">
        <v>-9.3800000000000008</v>
      </c>
      <c r="C9" s="19">
        <v>-4.9000000000000004</v>
      </c>
      <c r="D9" s="19">
        <v>-0.01</v>
      </c>
      <c r="E9" s="19">
        <v>-0.37</v>
      </c>
      <c r="F9" s="19">
        <v>0.01</v>
      </c>
      <c r="G9" s="19">
        <v>-8.23</v>
      </c>
      <c r="H9" s="19">
        <v>-7.85</v>
      </c>
      <c r="I9" s="19">
        <v>-0.47</v>
      </c>
      <c r="J9" s="19">
        <v>-2.93</v>
      </c>
      <c r="K9" s="19">
        <v>-23.58</v>
      </c>
      <c r="L9" s="19">
        <v>0.28999999999999998</v>
      </c>
      <c r="M9" s="19">
        <v>14.98</v>
      </c>
      <c r="N9" s="19">
        <v>-0.05</v>
      </c>
      <c r="O9" s="19">
        <v>0</v>
      </c>
      <c r="P9" s="19">
        <v>-0.36</v>
      </c>
      <c r="Q9" s="19">
        <v>-2.83</v>
      </c>
      <c r="R9" s="19">
        <v>-11.74</v>
      </c>
      <c r="S9" s="12" t="s">
        <v>1200</v>
      </c>
      <c r="T9" s="19">
        <v>-8.4600000000000009</v>
      </c>
      <c r="U9" s="19">
        <v>0</v>
      </c>
      <c r="V9" s="19">
        <v>-1.27</v>
      </c>
      <c r="W9" s="19">
        <v>-13.61</v>
      </c>
      <c r="X9" s="19">
        <v>0</v>
      </c>
      <c r="Y9" s="19">
        <v>-13.6</v>
      </c>
      <c r="Z9" s="19">
        <v>0</v>
      </c>
      <c r="AA9" s="19">
        <v>1.03</v>
      </c>
      <c r="AB9" s="19">
        <v>-1.74</v>
      </c>
      <c r="AC9" s="19">
        <v>-4.33</v>
      </c>
      <c r="AD9" s="19">
        <v>-11.36</v>
      </c>
      <c r="AE9" s="19">
        <v>-5.29</v>
      </c>
      <c r="AF9" s="19">
        <v>4.76</v>
      </c>
      <c r="AG9" s="19">
        <v>-7.0000000000000007E-2</v>
      </c>
      <c r="AH9" s="19">
        <v>-6.19</v>
      </c>
      <c r="AI9" s="19">
        <v>0</v>
      </c>
      <c r="AJ9" s="19">
        <v>-3.43</v>
      </c>
    </row>
    <row r="10" spans="1:36" ht="10.5" customHeight="1">
      <c r="A10" s="552" t="s">
        <v>1201</v>
      </c>
      <c r="B10" s="580">
        <v>-15.18</v>
      </c>
      <c r="C10" s="580">
        <v>-10.53</v>
      </c>
      <c r="D10" s="580">
        <v>0</v>
      </c>
      <c r="E10" s="580">
        <v>-2.08</v>
      </c>
      <c r="F10" s="580">
        <v>0.02</v>
      </c>
      <c r="G10" s="580">
        <v>-10.74</v>
      </c>
      <c r="H10" s="580">
        <v>-10.77</v>
      </c>
      <c r="I10" s="580">
        <v>0.06</v>
      </c>
      <c r="J10" s="580">
        <v>-5.04</v>
      </c>
      <c r="K10" s="580">
        <v>-23.2</v>
      </c>
      <c r="L10" s="580">
        <v>-0.14000000000000001</v>
      </c>
      <c r="M10" s="580">
        <v>-15.57</v>
      </c>
      <c r="N10" s="580">
        <v>-0.44</v>
      </c>
      <c r="O10" s="580">
        <v>0</v>
      </c>
      <c r="P10" s="580">
        <v>-6.44</v>
      </c>
      <c r="Q10" s="580">
        <v>-6.1</v>
      </c>
      <c r="R10" s="580">
        <v>-13.15</v>
      </c>
      <c r="S10" s="552" t="s">
        <v>1201</v>
      </c>
      <c r="T10" s="580">
        <v>-7.75</v>
      </c>
      <c r="U10" s="580">
        <v>-0.05</v>
      </c>
      <c r="V10" s="580">
        <v>-18.14</v>
      </c>
      <c r="W10" s="580">
        <v>-17.88</v>
      </c>
      <c r="X10" s="580">
        <v>-7.0000000000000007E-2</v>
      </c>
      <c r="Y10" s="580">
        <v>-3.64</v>
      </c>
      <c r="Z10" s="580">
        <v>0</v>
      </c>
      <c r="AA10" s="580">
        <v>-14.3</v>
      </c>
      <c r="AB10" s="580">
        <v>-4.9400000000000004</v>
      </c>
      <c r="AC10" s="580">
        <v>-18.510000000000002</v>
      </c>
      <c r="AD10" s="580">
        <v>-13.27</v>
      </c>
      <c r="AE10" s="580">
        <v>-8.75</v>
      </c>
      <c r="AF10" s="580">
        <v>-1.38</v>
      </c>
      <c r="AG10" s="580">
        <v>-6.8</v>
      </c>
      <c r="AH10" s="580">
        <v>-13.51</v>
      </c>
      <c r="AI10" s="580">
        <v>-0.06</v>
      </c>
      <c r="AJ10" s="580">
        <v>-6.78</v>
      </c>
    </row>
    <row r="11" spans="1:36" ht="10.5" customHeight="1">
      <c r="A11" s="449" t="s">
        <v>1202</v>
      </c>
      <c r="B11" s="20">
        <v>11.05</v>
      </c>
      <c r="C11" s="20">
        <v>-1.55</v>
      </c>
      <c r="D11" s="20">
        <v>0.01</v>
      </c>
      <c r="E11" s="20">
        <v>-0.28000000000000003</v>
      </c>
      <c r="F11" s="20">
        <v>0</v>
      </c>
      <c r="G11" s="20">
        <v>17.27</v>
      </c>
      <c r="H11" s="20">
        <v>16.649999999999999</v>
      </c>
      <c r="I11" s="20">
        <v>0</v>
      </c>
      <c r="J11" s="20">
        <v>-3.74</v>
      </c>
      <c r="K11" s="20">
        <v>30.72</v>
      </c>
      <c r="L11" s="20">
        <v>-77.92</v>
      </c>
      <c r="M11" s="20">
        <v>4.26</v>
      </c>
      <c r="N11" s="20">
        <v>1.9</v>
      </c>
      <c r="O11" s="20">
        <v>0</v>
      </c>
      <c r="P11" s="20">
        <v>5.86</v>
      </c>
      <c r="Q11" s="20">
        <v>-4.1500000000000004</v>
      </c>
      <c r="R11" s="20">
        <v>19.87</v>
      </c>
      <c r="S11" s="449" t="s">
        <v>1202</v>
      </c>
      <c r="T11" s="20">
        <v>24.19</v>
      </c>
      <c r="U11" s="20">
        <v>-0.01</v>
      </c>
      <c r="V11" s="20">
        <v>6.43</v>
      </c>
      <c r="W11" s="20">
        <v>4.17</v>
      </c>
      <c r="X11" s="20">
        <v>0</v>
      </c>
      <c r="Y11" s="20">
        <v>-7.53</v>
      </c>
      <c r="Z11" s="20">
        <v>0.01</v>
      </c>
      <c r="AA11" s="20">
        <v>9.17</v>
      </c>
      <c r="AB11" s="20">
        <v>3.17</v>
      </c>
      <c r="AC11" s="20">
        <v>18.420000000000002</v>
      </c>
      <c r="AD11" s="20">
        <v>-5.75</v>
      </c>
      <c r="AE11" s="20">
        <v>21.09</v>
      </c>
      <c r="AF11" s="20">
        <v>3.22</v>
      </c>
      <c r="AG11" s="20">
        <v>6.81</v>
      </c>
      <c r="AH11" s="20">
        <v>9.0500000000000007</v>
      </c>
      <c r="AI11" s="20">
        <v>0</v>
      </c>
      <c r="AJ11" s="20">
        <v>8.25</v>
      </c>
    </row>
    <row r="12" spans="1:36" ht="10.5" customHeight="1">
      <c r="A12" s="552" t="s">
        <v>1203</v>
      </c>
      <c r="B12" s="580">
        <v>18.399999999999999</v>
      </c>
      <c r="C12" s="580">
        <v>0</v>
      </c>
      <c r="D12" s="580">
        <v>-0.01</v>
      </c>
      <c r="E12" s="580">
        <v>12.73</v>
      </c>
      <c r="F12" s="580">
        <v>0</v>
      </c>
      <c r="G12" s="580">
        <v>15.29</v>
      </c>
      <c r="H12" s="580">
        <v>15.36</v>
      </c>
      <c r="I12" s="580">
        <v>0.02</v>
      </c>
      <c r="J12" s="580">
        <v>5.12</v>
      </c>
      <c r="K12" s="580">
        <v>5.24</v>
      </c>
      <c r="L12" s="580">
        <v>-3.18</v>
      </c>
      <c r="M12" s="580">
        <v>-0.02</v>
      </c>
      <c r="N12" s="580">
        <v>0.8</v>
      </c>
      <c r="O12" s="580">
        <v>0</v>
      </c>
      <c r="P12" s="580">
        <v>6.15</v>
      </c>
      <c r="Q12" s="580">
        <v>2.92</v>
      </c>
      <c r="R12" s="580">
        <v>19.440000000000001</v>
      </c>
      <c r="S12" s="552" t="s">
        <v>1203</v>
      </c>
      <c r="T12" s="580">
        <v>3.36</v>
      </c>
      <c r="U12" s="580">
        <v>0.01</v>
      </c>
      <c r="V12" s="580">
        <v>3.85</v>
      </c>
      <c r="W12" s="580">
        <v>-6.15</v>
      </c>
      <c r="X12" s="580">
        <v>0</v>
      </c>
      <c r="Y12" s="580">
        <v>3.76</v>
      </c>
      <c r="Z12" s="580">
        <v>0</v>
      </c>
      <c r="AA12" s="580">
        <v>1.25</v>
      </c>
      <c r="AB12" s="580">
        <v>0.61</v>
      </c>
      <c r="AC12" s="580">
        <v>14.14</v>
      </c>
      <c r="AD12" s="580">
        <v>-0.95</v>
      </c>
      <c r="AE12" s="580">
        <v>9.74</v>
      </c>
      <c r="AF12" s="580">
        <v>12.12</v>
      </c>
      <c r="AG12" s="580">
        <v>5.35</v>
      </c>
      <c r="AH12" s="580">
        <v>-1.1200000000000001</v>
      </c>
      <c r="AI12" s="580">
        <v>0</v>
      </c>
      <c r="AJ12" s="580">
        <v>7.61</v>
      </c>
    </row>
    <row r="13" spans="1:36" ht="10.5" customHeight="1">
      <c r="A13" s="12" t="s">
        <v>1204</v>
      </c>
      <c r="B13" s="19">
        <v>3.51</v>
      </c>
      <c r="C13" s="19">
        <v>-4.18</v>
      </c>
      <c r="D13" s="19">
        <v>0</v>
      </c>
      <c r="E13" s="19">
        <v>0.11</v>
      </c>
      <c r="F13" s="19">
        <v>0.01</v>
      </c>
      <c r="G13" s="19">
        <v>5.69</v>
      </c>
      <c r="H13" s="19">
        <v>5.7</v>
      </c>
      <c r="I13" s="19">
        <v>-0.02</v>
      </c>
      <c r="J13" s="19">
        <v>0.99</v>
      </c>
      <c r="K13" s="19">
        <v>-11.99</v>
      </c>
      <c r="L13" s="19">
        <v>-5.32</v>
      </c>
      <c r="M13" s="19">
        <v>10.54</v>
      </c>
      <c r="N13" s="19">
        <v>1.63</v>
      </c>
      <c r="O13" s="19">
        <v>0</v>
      </c>
      <c r="P13" s="19">
        <v>4.82</v>
      </c>
      <c r="Q13" s="19">
        <v>2.19</v>
      </c>
      <c r="R13" s="19">
        <v>8.6</v>
      </c>
      <c r="S13" s="12" t="s">
        <v>1204</v>
      </c>
      <c r="T13" s="19">
        <v>5.01</v>
      </c>
      <c r="U13" s="19">
        <v>0</v>
      </c>
      <c r="V13" s="19">
        <v>-0.62</v>
      </c>
      <c r="W13" s="19">
        <v>-4.54</v>
      </c>
      <c r="X13" s="19">
        <v>0</v>
      </c>
      <c r="Y13" s="19">
        <v>4.5999999999999996</v>
      </c>
      <c r="Z13" s="19">
        <v>0</v>
      </c>
      <c r="AA13" s="19">
        <v>3.06</v>
      </c>
      <c r="AB13" s="19">
        <v>2.34</v>
      </c>
      <c r="AC13" s="19">
        <v>6.39</v>
      </c>
      <c r="AD13" s="19">
        <v>-5.1100000000000003</v>
      </c>
      <c r="AE13" s="19">
        <v>6.63</v>
      </c>
      <c r="AF13" s="19">
        <v>-5.28</v>
      </c>
      <c r="AG13" s="19">
        <v>4.7</v>
      </c>
      <c r="AH13" s="19">
        <v>2.7</v>
      </c>
      <c r="AI13" s="19">
        <v>0</v>
      </c>
      <c r="AJ13" s="19">
        <v>9.59</v>
      </c>
    </row>
    <row r="14" spans="1:36" ht="10.5" customHeight="1">
      <c r="A14" s="552" t="s">
        <v>1205</v>
      </c>
      <c r="B14" s="580">
        <v>10.26</v>
      </c>
      <c r="C14" s="580">
        <v>-5.21</v>
      </c>
      <c r="D14" s="580">
        <v>0</v>
      </c>
      <c r="E14" s="580">
        <v>9.48</v>
      </c>
      <c r="F14" s="580">
        <v>0</v>
      </c>
      <c r="G14" s="580">
        <v>-0.43</v>
      </c>
      <c r="H14" s="580">
        <v>-0.18</v>
      </c>
      <c r="I14" s="580">
        <v>0.38</v>
      </c>
      <c r="J14" s="580">
        <v>5.75</v>
      </c>
      <c r="K14" s="580">
        <v>-3.21</v>
      </c>
      <c r="L14" s="580">
        <v>-3.73</v>
      </c>
      <c r="M14" s="580">
        <v>-2.0499999999999998</v>
      </c>
      <c r="N14" s="580">
        <v>0.98</v>
      </c>
      <c r="O14" s="580">
        <v>0</v>
      </c>
      <c r="P14" s="580">
        <v>36.630000000000003</v>
      </c>
      <c r="Q14" s="580">
        <v>5.38</v>
      </c>
      <c r="R14" s="580">
        <v>10.69</v>
      </c>
      <c r="S14" s="552" t="s">
        <v>1205</v>
      </c>
      <c r="T14" s="580">
        <v>5.4</v>
      </c>
      <c r="U14" s="580">
        <v>0</v>
      </c>
      <c r="V14" s="580">
        <v>-2.5299999999999998</v>
      </c>
      <c r="W14" s="580">
        <v>0.36</v>
      </c>
      <c r="X14" s="580">
        <v>0.01</v>
      </c>
      <c r="Y14" s="580">
        <v>1.3</v>
      </c>
      <c r="Z14" s="580">
        <v>0</v>
      </c>
      <c r="AA14" s="580">
        <v>12.25</v>
      </c>
      <c r="AB14" s="580">
        <v>1.83</v>
      </c>
      <c r="AC14" s="580">
        <v>-3.47</v>
      </c>
      <c r="AD14" s="580">
        <v>2.5099999999999998</v>
      </c>
      <c r="AE14" s="580">
        <v>-1.36</v>
      </c>
      <c r="AF14" s="580">
        <v>-6.98</v>
      </c>
      <c r="AG14" s="580">
        <v>-0.37</v>
      </c>
      <c r="AH14" s="580">
        <v>-1.05</v>
      </c>
      <c r="AI14" s="580">
        <v>0</v>
      </c>
      <c r="AJ14" s="580">
        <v>0.12</v>
      </c>
    </row>
    <row r="15" spans="1:36" ht="10.5" customHeight="1">
      <c r="A15" s="12" t="s">
        <v>1210</v>
      </c>
      <c r="B15" s="19">
        <v>-4.2300000000000004</v>
      </c>
      <c r="C15" s="19">
        <v>-8.5</v>
      </c>
      <c r="D15" s="19">
        <v>0.04</v>
      </c>
      <c r="E15" s="19">
        <v>9.44</v>
      </c>
      <c r="F15" s="19">
        <v>3.45</v>
      </c>
      <c r="G15" s="19">
        <v>3.96</v>
      </c>
      <c r="H15" s="19">
        <v>4.09</v>
      </c>
      <c r="I15" s="19">
        <v>0.02</v>
      </c>
      <c r="J15" s="19">
        <v>-5.9</v>
      </c>
      <c r="K15" s="19">
        <v>4.05</v>
      </c>
      <c r="L15" s="19">
        <v>-2.02</v>
      </c>
      <c r="M15" s="19">
        <v>-5.09</v>
      </c>
      <c r="N15" s="19">
        <v>0.97</v>
      </c>
      <c r="O15" s="19">
        <v>3.06</v>
      </c>
      <c r="P15" s="19">
        <v>-2.97</v>
      </c>
      <c r="Q15" s="19">
        <v>-4.8499999999999996</v>
      </c>
      <c r="R15" s="19">
        <v>-14.66</v>
      </c>
      <c r="S15" s="12" t="s">
        <v>1210</v>
      </c>
      <c r="T15" s="19">
        <v>4.2699999999999996</v>
      </c>
      <c r="U15" s="19">
        <v>-0.04</v>
      </c>
      <c r="V15" s="19">
        <v>-0.9</v>
      </c>
      <c r="W15" s="19">
        <v>4.43</v>
      </c>
      <c r="X15" s="19">
        <v>-0.01</v>
      </c>
      <c r="Y15" s="19">
        <v>5.87</v>
      </c>
      <c r="Z15" s="19">
        <v>0</v>
      </c>
      <c r="AA15" s="19">
        <v>7.1</v>
      </c>
      <c r="AB15" s="19">
        <v>5.41</v>
      </c>
      <c r="AC15" s="19">
        <v>6.42</v>
      </c>
      <c r="AD15" s="19">
        <v>-4.04</v>
      </c>
      <c r="AE15" s="19">
        <v>2.99</v>
      </c>
      <c r="AF15" s="19">
        <v>0</v>
      </c>
      <c r="AG15" s="19">
        <v>0.73</v>
      </c>
      <c r="AH15" s="19">
        <v>7.53</v>
      </c>
      <c r="AI15" s="19">
        <v>0</v>
      </c>
      <c r="AJ15" s="19">
        <v>0.75</v>
      </c>
    </row>
    <row r="16" spans="1:36" ht="10.5" customHeight="1">
      <c r="A16" s="552" t="s">
        <v>1219</v>
      </c>
      <c r="B16" s="580">
        <v>16.3</v>
      </c>
      <c r="C16" s="580">
        <v>1.26</v>
      </c>
      <c r="D16" s="580">
        <v>-0.42</v>
      </c>
      <c r="E16" s="580">
        <v>5.37</v>
      </c>
      <c r="F16" s="580">
        <v>5.05</v>
      </c>
      <c r="G16" s="580">
        <v>8.02</v>
      </c>
      <c r="H16" s="580">
        <v>7.78</v>
      </c>
      <c r="I16" s="580">
        <v>-1.58</v>
      </c>
      <c r="J16" s="580">
        <v>14.15</v>
      </c>
      <c r="K16" s="580">
        <v>3.38</v>
      </c>
      <c r="L16" s="580">
        <v>-1.19</v>
      </c>
      <c r="M16" s="580">
        <v>-5.5</v>
      </c>
      <c r="N16" s="580">
        <v>0.02</v>
      </c>
      <c r="O16" s="580">
        <v>6.79</v>
      </c>
      <c r="P16" s="580">
        <v>-31.96</v>
      </c>
      <c r="Q16" s="580">
        <v>13.1</v>
      </c>
      <c r="R16" s="580">
        <v>29.3</v>
      </c>
      <c r="S16" s="552" t="s">
        <v>1219</v>
      </c>
      <c r="T16" s="580">
        <v>6.58</v>
      </c>
      <c r="U16" s="580">
        <v>0.03</v>
      </c>
      <c r="V16" s="580">
        <v>-0.55000000000000004</v>
      </c>
      <c r="W16" s="580">
        <v>15.82</v>
      </c>
      <c r="X16" s="580">
        <v>0.01</v>
      </c>
      <c r="Y16" s="580">
        <v>5.31</v>
      </c>
      <c r="Z16" s="580">
        <v>-0.01</v>
      </c>
      <c r="AA16" s="580">
        <v>3.7</v>
      </c>
      <c r="AB16" s="580">
        <v>4.43</v>
      </c>
      <c r="AC16" s="580">
        <v>7.59</v>
      </c>
      <c r="AD16" s="580">
        <v>-6.47</v>
      </c>
      <c r="AE16" s="580">
        <v>1.91</v>
      </c>
      <c r="AF16" s="580">
        <v>-0.38</v>
      </c>
      <c r="AG16" s="580">
        <v>3.11</v>
      </c>
      <c r="AH16" s="580">
        <v>21.23</v>
      </c>
      <c r="AI16" s="580">
        <v>0.91</v>
      </c>
      <c r="AJ16" s="580">
        <v>10.4</v>
      </c>
    </row>
    <row r="17" spans="1:36" ht="10.5" customHeight="1">
      <c r="A17" s="12" t="s">
        <v>916</v>
      </c>
      <c r="B17" s="21">
        <v>13.2</v>
      </c>
      <c r="C17" s="21">
        <v>0.42</v>
      </c>
      <c r="D17" s="21">
        <v>0.41</v>
      </c>
      <c r="E17" s="21">
        <v>5.37</v>
      </c>
      <c r="F17" s="21">
        <v>11.03</v>
      </c>
      <c r="G17" s="21">
        <v>16.41</v>
      </c>
      <c r="H17" s="21">
        <v>16.670000000000002</v>
      </c>
      <c r="I17" s="21">
        <v>1.1499999999999999</v>
      </c>
      <c r="J17" s="21">
        <v>-5.29</v>
      </c>
      <c r="K17" s="21">
        <v>-2.06</v>
      </c>
      <c r="L17" s="21">
        <v>0.89</v>
      </c>
      <c r="M17" s="21">
        <v>16.16</v>
      </c>
      <c r="N17" s="21">
        <v>8.73</v>
      </c>
      <c r="O17" s="21">
        <v>5.69</v>
      </c>
      <c r="P17" s="21">
        <v>0</v>
      </c>
      <c r="Q17" s="21">
        <v>-4.0199999999999996</v>
      </c>
      <c r="R17" s="21">
        <v>-1.44</v>
      </c>
      <c r="S17" s="12" t="s">
        <v>916</v>
      </c>
      <c r="T17" s="21">
        <v>16.48</v>
      </c>
      <c r="U17" s="21">
        <v>-0.01</v>
      </c>
      <c r="V17" s="21">
        <v>-11.54</v>
      </c>
      <c r="W17" s="21">
        <v>3.53</v>
      </c>
      <c r="X17" s="298">
        <v>0.06</v>
      </c>
      <c r="Y17" s="298">
        <v>9.7899999999999991</v>
      </c>
      <c r="Z17" s="298">
        <v>0.01</v>
      </c>
      <c r="AA17" s="298">
        <v>-11.04</v>
      </c>
      <c r="AB17" s="298">
        <v>12.34</v>
      </c>
      <c r="AC17" s="298">
        <v>14.38</v>
      </c>
      <c r="AD17" s="298">
        <v>3.29</v>
      </c>
      <c r="AE17" s="298">
        <v>20.059999999999999</v>
      </c>
      <c r="AF17" s="298">
        <v>2.76</v>
      </c>
      <c r="AG17" s="298">
        <v>7.55</v>
      </c>
      <c r="AH17" s="298">
        <v>-5.43</v>
      </c>
      <c r="AI17" s="298">
        <v>-0.9</v>
      </c>
      <c r="AJ17" s="298">
        <v>-0.67</v>
      </c>
    </row>
    <row r="18" spans="1:36" ht="10.5" customHeight="1">
      <c r="A18" s="543" t="s">
        <v>230</v>
      </c>
      <c r="B18" s="537">
        <v>-15.831</v>
      </c>
      <c r="C18" s="537">
        <v>-0.78800000000000003</v>
      </c>
      <c r="D18" s="537">
        <v>-2.5999999999999999E-2</v>
      </c>
      <c r="E18" s="537">
        <v>-12.601000000000001</v>
      </c>
      <c r="F18" s="537">
        <v>0.39800000000000002</v>
      </c>
      <c r="G18" s="537">
        <v>-10.66</v>
      </c>
      <c r="H18" s="537">
        <v>-10.802</v>
      </c>
      <c r="I18" s="537">
        <v>0.68500000000000005</v>
      </c>
      <c r="J18" s="537">
        <v>-10.9</v>
      </c>
      <c r="K18" s="537">
        <v>-9.6910000000000007</v>
      </c>
      <c r="L18" s="537">
        <v>-7.6079999999999997</v>
      </c>
      <c r="M18" s="537">
        <v>10.449</v>
      </c>
      <c r="N18" s="537">
        <v>-8.2469999999999999</v>
      </c>
      <c r="O18" s="537">
        <v>-7.2830000000000004</v>
      </c>
      <c r="P18" s="537">
        <v>0</v>
      </c>
      <c r="Q18" s="537">
        <v>-12.002000000000001</v>
      </c>
      <c r="R18" s="537">
        <v>-14.455</v>
      </c>
      <c r="S18" s="543" t="s">
        <v>230</v>
      </c>
      <c r="T18" s="537">
        <v>-22.157</v>
      </c>
      <c r="U18" s="537">
        <v>0</v>
      </c>
      <c r="V18" s="537">
        <v>-15.763</v>
      </c>
      <c r="W18" s="537">
        <v>-7.3670999999999998</v>
      </c>
      <c r="X18" s="537">
        <v>-4.1000000000000002E-2</v>
      </c>
      <c r="Y18" s="572">
        <v>-24.79</v>
      </c>
      <c r="Z18" s="572">
        <v>0</v>
      </c>
      <c r="AA18" s="572">
        <v>-19.683</v>
      </c>
      <c r="AB18" s="572">
        <v>-6.07</v>
      </c>
      <c r="AC18" s="572">
        <v>-21.937999999999999</v>
      </c>
      <c r="AD18" s="572">
        <v>-6.3259999999999996</v>
      </c>
      <c r="AE18" s="572">
        <v>-5.9569999999999999</v>
      </c>
      <c r="AF18" s="572">
        <v>10.749000000000001</v>
      </c>
      <c r="AG18" s="572">
        <v>-4.883</v>
      </c>
      <c r="AH18" s="572">
        <v>-1.542</v>
      </c>
      <c r="AI18" s="572">
        <v>-4.0840219448168291E-3</v>
      </c>
      <c r="AJ18" s="572">
        <v>-16.933</v>
      </c>
    </row>
    <row r="19" spans="1:36" ht="10.5" customHeight="1">
      <c r="A19" s="11" t="s">
        <v>220</v>
      </c>
      <c r="B19" s="21">
        <v>5.01</v>
      </c>
      <c r="C19" s="21">
        <v>-0.55000000000000004</v>
      </c>
      <c r="D19" s="21">
        <v>-0.01</v>
      </c>
      <c r="E19" s="21">
        <v>9.3800000000000008</v>
      </c>
      <c r="F19" s="21">
        <v>0.6</v>
      </c>
      <c r="G19" s="21">
        <v>-13.47</v>
      </c>
      <c r="H19" s="21">
        <v>-13.43</v>
      </c>
      <c r="I19" s="21">
        <v>-0.44</v>
      </c>
      <c r="J19" s="21">
        <v>3.45</v>
      </c>
      <c r="K19" s="21">
        <v>12.64</v>
      </c>
      <c r="L19" s="21">
        <v>-0.55000000000000004</v>
      </c>
      <c r="M19" s="21">
        <v>8.43</v>
      </c>
      <c r="N19" s="21">
        <v>-0.31</v>
      </c>
      <c r="O19" s="21">
        <v>8.1999999999999993</v>
      </c>
      <c r="P19" s="21">
        <v>0</v>
      </c>
      <c r="Q19" s="21">
        <v>4.55</v>
      </c>
      <c r="R19" s="21">
        <v>6.39</v>
      </c>
      <c r="S19" s="11" t="s">
        <v>220</v>
      </c>
      <c r="T19" s="21">
        <v>-0.04</v>
      </c>
      <c r="U19" s="21">
        <v>0.01</v>
      </c>
      <c r="V19" s="21">
        <v>-4.92</v>
      </c>
      <c r="W19" s="21">
        <v>4.01</v>
      </c>
      <c r="X19" s="21">
        <v>-0.01</v>
      </c>
      <c r="Y19" s="298">
        <v>-0.52</v>
      </c>
      <c r="Z19" s="298">
        <v>-0.01</v>
      </c>
      <c r="AA19" s="298">
        <v>5.81</v>
      </c>
      <c r="AB19" s="298">
        <v>3.45</v>
      </c>
      <c r="AC19" s="298">
        <v>-1.58</v>
      </c>
      <c r="AD19" s="298">
        <v>1.3</v>
      </c>
      <c r="AE19" s="298">
        <v>0.06</v>
      </c>
      <c r="AF19" s="298">
        <v>1.92</v>
      </c>
      <c r="AG19" s="298">
        <v>-4.8499999999999996</v>
      </c>
      <c r="AH19" s="298">
        <v>5.0599999999999996</v>
      </c>
      <c r="AI19" s="298">
        <v>0</v>
      </c>
      <c r="AJ19" s="298">
        <v>-9.07</v>
      </c>
    </row>
    <row r="20" spans="1:36" ht="10.5" customHeight="1">
      <c r="A20" s="543" t="s">
        <v>489</v>
      </c>
      <c r="B20" s="537">
        <v>25.89</v>
      </c>
      <c r="C20" s="537">
        <v>-6.34</v>
      </c>
      <c r="D20" s="537">
        <v>-0.01</v>
      </c>
      <c r="E20" s="537">
        <v>8.98</v>
      </c>
      <c r="F20" s="537">
        <v>4.93</v>
      </c>
      <c r="G20" s="537">
        <v>18.23</v>
      </c>
      <c r="H20" s="537">
        <v>18.39</v>
      </c>
      <c r="I20" s="537">
        <v>0.01</v>
      </c>
      <c r="J20" s="537">
        <v>3.74</v>
      </c>
      <c r="K20" s="537">
        <v>5.5</v>
      </c>
      <c r="L20" s="537">
        <v>-6.22</v>
      </c>
      <c r="M20" s="537">
        <v>9.65</v>
      </c>
      <c r="N20" s="537">
        <v>5.92</v>
      </c>
      <c r="O20" s="537">
        <v>7.84</v>
      </c>
      <c r="P20" s="537">
        <v>0</v>
      </c>
      <c r="Q20" s="537">
        <v>3.05</v>
      </c>
      <c r="R20" s="537">
        <v>19.25</v>
      </c>
      <c r="S20" s="543" t="s">
        <v>489</v>
      </c>
      <c r="T20" s="537">
        <v>20.96</v>
      </c>
      <c r="U20" s="537">
        <v>0</v>
      </c>
      <c r="V20" s="537">
        <v>-0.84</v>
      </c>
      <c r="W20" s="537">
        <v>6.77</v>
      </c>
      <c r="X20" s="537">
        <v>-0.05</v>
      </c>
      <c r="Y20" s="572">
        <v>11.69</v>
      </c>
      <c r="Z20" s="572">
        <v>0.01</v>
      </c>
      <c r="AA20" s="572">
        <v>12.92</v>
      </c>
      <c r="AB20" s="572">
        <v>13.77</v>
      </c>
      <c r="AC20" s="572">
        <v>23.15</v>
      </c>
      <c r="AD20" s="572">
        <v>3.56</v>
      </c>
      <c r="AE20" s="572">
        <v>29.66</v>
      </c>
      <c r="AF20" s="572">
        <v>-1.1399999999999999</v>
      </c>
      <c r="AG20" s="572">
        <v>8.27</v>
      </c>
      <c r="AH20" s="572">
        <v>5.23</v>
      </c>
      <c r="AI20" s="572">
        <v>0</v>
      </c>
      <c r="AJ20" s="572">
        <v>6.65</v>
      </c>
    </row>
    <row r="21" spans="1:36" s="317" customFormat="1" ht="10.5" customHeight="1">
      <c r="A21" s="315" t="s">
        <v>1580</v>
      </c>
      <c r="B21" s="43">
        <v>-4.16</v>
      </c>
      <c r="C21" s="43">
        <v>-9.3800000000000008</v>
      </c>
      <c r="D21" s="43">
        <v>0.01</v>
      </c>
      <c r="E21" s="43">
        <v>-4.59</v>
      </c>
      <c r="F21" s="43">
        <v>2.3199999999999998</v>
      </c>
      <c r="G21" s="43">
        <v>-12.1</v>
      </c>
      <c r="H21" s="43">
        <v>-12.4</v>
      </c>
      <c r="I21" s="43">
        <v>0.38</v>
      </c>
      <c r="J21" s="43">
        <v>-19.38</v>
      </c>
      <c r="K21" s="43">
        <v>8.4700000000000006</v>
      </c>
      <c r="L21" s="43">
        <v>-13.15</v>
      </c>
      <c r="M21" s="43">
        <v>1.1100000000000001</v>
      </c>
      <c r="N21" s="43">
        <v>-1.96</v>
      </c>
      <c r="O21" s="43">
        <v>-4.7699999999999996</v>
      </c>
      <c r="P21" s="43">
        <v>0</v>
      </c>
      <c r="Q21" s="43">
        <v>-20.63</v>
      </c>
      <c r="R21" s="43">
        <v>-2.97</v>
      </c>
      <c r="S21" s="315" t="s">
        <v>1580</v>
      </c>
      <c r="T21" s="43">
        <v>-9.77</v>
      </c>
      <c r="U21" s="43">
        <v>0</v>
      </c>
      <c r="V21" s="43">
        <v>-8.94</v>
      </c>
      <c r="W21" s="43">
        <v>3.29</v>
      </c>
      <c r="X21" s="43">
        <v>0.02</v>
      </c>
      <c r="Y21" s="960">
        <v>-14.8</v>
      </c>
      <c r="Z21" s="960">
        <v>-0.01</v>
      </c>
      <c r="AA21" s="960">
        <v>-6.01</v>
      </c>
      <c r="AB21" s="960">
        <v>-2.57</v>
      </c>
      <c r="AC21" s="960">
        <v>-8.85</v>
      </c>
      <c r="AD21" s="960">
        <v>-17.760000000000002</v>
      </c>
      <c r="AE21" s="960">
        <v>-12.17</v>
      </c>
      <c r="AF21" s="960">
        <v>-25.91</v>
      </c>
      <c r="AG21" s="960">
        <v>-4.99</v>
      </c>
      <c r="AH21" s="960">
        <v>-2.56</v>
      </c>
      <c r="AI21" s="960">
        <v>0</v>
      </c>
      <c r="AJ21" s="960">
        <v>-2.48</v>
      </c>
    </row>
    <row r="22" spans="1:36" s="317" customFormat="1" ht="10.5" customHeight="1">
      <c r="A22" s="543" t="s">
        <v>1809</v>
      </c>
      <c r="B22" s="537">
        <v>-10.71</v>
      </c>
      <c r="C22" s="537">
        <v>5.21</v>
      </c>
      <c r="D22" s="537">
        <v>0</v>
      </c>
      <c r="E22" s="537">
        <v>-3.35</v>
      </c>
      <c r="F22" s="537">
        <v>2.37</v>
      </c>
      <c r="G22" s="537">
        <v>2.58</v>
      </c>
      <c r="H22" s="537">
        <v>2.92</v>
      </c>
      <c r="I22" s="537">
        <v>0.02</v>
      </c>
      <c r="J22" s="537">
        <v>-6.75</v>
      </c>
      <c r="K22" s="537">
        <v>-5.37</v>
      </c>
      <c r="L22" s="537">
        <v>0.04</v>
      </c>
      <c r="M22" s="537">
        <v>-19.53</v>
      </c>
      <c r="N22" s="537">
        <v>-1.86</v>
      </c>
      <c r="O22" s="537">
        <v>0.35</v>
      </c>
      <c r="P22" s="537">
        <v>0</v>
      </c>
      <c r="Q22" s="537">
        <v>-4.8600000000000003</v>
      </c>
      <c r="R22" s="537">
        <v>-3.26</v>
      </c>
      <c r="S22" s="543" t="s">
        <v>1809</v>
      </c>
      <c r="T22" s="537">
        <v>-1.79</v>
      </c>
      <c r="U22" s="537">
        <v>0</v>
      </c>
      <c r="V22" s="537">
        <v>-4.99</v>
      </c>
      <c r="W22" s="537">
        <v>-2.56</v>
      </c>
      <c r="X22" s="537">
        <v>0.01</v>
      </c>
      <c r="Y22" s="572">
        <v>-0.22</v>
      </c>
      <c r="Z22" s="572">
        <v>0.01</v>
      </c>
      <c r="AA22" s="572">
        <v>0.3</v>
      </c>
      <c r="AB22" s="572">
        <v>-0.15</v>
      </c>
      <c r="AC22" s="572">
        <v>3.24</v>
      </c>
      <c r="AD22" s="572">
        <v>2.04</v>
      </c>
      <c r="AE22" s="572">
        <v>0.57999999999999996</v>
      </c>
      <c r="AF22" s="572">
        <v>-36.24</v>
      </c>
      <c r="AG22" s="572">
        <v>-0.89</v>
      </c>
      <c r="AH22" s="572">
        <v>1.76</v>
      </c>
      <c r="AI22" s="572">
        <v>0</v>
      </c>
      <c r="AJ22" s="572">
        <v>-2.96</v>
      </c>
    </row>
    <row r="23" spans="1:36" s="482" customFormat="1" ht="10.5" customHeight="1">
      <c r="A23" s="442" t="s">
        <v>2229</v>
      </c>
      <c r="B23" s="1115">
        <v>3.09</v>
      </c>
      <c r="C23" s="1115">
        <v>0.17</v>
      </c>
      <c r="D23" s="1115">
        <v>0</v>
      </c>
      <c r="E23" s="1115">
        <v>-1.3</v>
      </c>
      <c r="F23" s="1115">
        <v>0.42</v>
      </c>
      <c r="G23" s="1115">
        <v>4.9400000000000004</v>
      </c>
      <c r="H23" s="1115">
        <v>4.9000000000000004</v>
      </c>
      <c r="I23" s="1115">
        <v>0.06</v>
      </c>
      <c r="J23" s="1115">
        <v>-0.86</v>
      </c>
      <c r="K23" s="1115">
        <v>-17.149999999999999</v>
      </c>
      <c r="L23" s="1115">
        <v>-52.09</v>
      </c>
      <c r="M23" s="1115">
        <v>-2.16</v>
      </c>
      <c r="N23" s="1115">
        <v>1.22</v>
      </c>
      <c r="O23" s="1115">
        <v>-1.54</v>
      </c>
      <c r="P23" s="1115">
        <v>0</v>
      </c>
      <c r="Q23" s="1115">
        <v>-0.71</v>
      </c>
      <c r="R23" s="1115">
        <v>13.34</v>
      </c>
      <c r="S23" s="442" t="s">
        <v>2229</v>
      </c>
      <c r="T23" s="1115">
        <v>-0.86</v>
      </c>
      <c r="U23" s="1115">
        <v>0</v>
      </c>
      <c r="V23" s="1115">
        <v>0.86</v>
      </c>
      <c r="W23" s="1115">
        <v>-1.28</v>
      </c>
      <c r="X23" s="1115">
        <v>-0.02</v>
      </c>
      <c r="Y23" s="1115">
        <v>-2.2799999999999998</v>
      </c>
      <c r="Z23" s="1115">
        <v>-0.01</v>
      </c>
      <c r="AA23" s="1115">
        <v>12.42</v>
      </c>
      <c r="AB23" s="1115">
        <v>1.42</v>
      </c>
      <c r="AC23" s="1115">
        <v>-0.51</v>
      </c>
      <c r="AD23" s="1115">
        <v>0.16</v>
      </c>
      <c r="AE23" s="1115">
        <v>6.06</v>
      </c>
      <c r="AF23" s="1115">
        <v>-32.82</v>
      </c>
      <c r="AG23" s="1115">
        <v>2.67</v>
      </c>
      <c r="AH23" s="1115">
        <v>-4.33</v>
      </c>
      <c r="AI23" s="1115">
        <v>0.01</v>
      </c>
      <c r="AJ23" s="1115">
        <v>12.04</v>
      </c>
    </row>
    <row r="24" spans="1:36" s="482" customFormat="1" ht="10.5" hidden="1" customHeight="1">
      <c r="A24" s="934" t="s">
        <v>1211</v>
      </c>
      <c r="B24" s="733">
        <v>-0.84</v>
      </c>
      <c r="C24" s="733">
        <v>0.02</v>
      </c>
      <c r="D24" s="733">
        <v>0</v>
      </c>
      <c r="E24" s="733">
        <v>2.13</v>
      </c>
      <c r="F24" s="733">
        <v>0</v>
      </c>
      <c r="G24" s="733">
        <v>1.98</v>
      </c>
      <c r="H24" s="733">
        <v>1.93</v>
      </c>
      <c r="I24" s="733">
        <v>0.02</v>
      </c>
      <c r="J24" s="733">
        <v>-2.11</v>
      </c>
      <c r="K24" s="733">
        <v>-3.38</v>
      </c>
      <c r="L24" s="733">
        <v>-50.47</v>
      </c>
      <c r="M24" s="733">
        <v>1.28</v>
      </c>
      <c r="N24" s="733">
        <v>0.32</v>
      </c>
      <c r="O24" s="733">
        <v>-2.68</v>
      </c>
      <c r="P24" s="733">
        <v>0</v>
      </c>
      <c r="Q24" s="733">
        <v>1.1599999999999999</v>
      </c>
      <c r="R24" s="733">
        <v>3.14</v>
      </c>
      <c r="S24" s="934" t="s">
        <v>1211</v>
      </c>
      <c r="T24" s="733">
        <v>2.29</v>
      </c>
      <c r="U24" s="733">
        <v>0</v>
      </c>
      <c r="V24" s="733">
        <v>-2.16</v>
      </c>
      <c r="W24" s="733">
        <v>-0.28000000000000003</v>
      </c>
      <c r="X24" s="733">
        <v>-0.02</v>
      </c>
      <c r="Y24" s="733">
        <v>0</v>
      </c>
      <c r="Z24" s="733">
        <v>-0.01</v>
      </c>
      <c r="AA24" s="733">
        <v>2.2200000000000002</v>
      </c>
      <c r="AB24" s="733">
        <v>-0.57999999999999996</v>
      </c>
      <c r="AC24" s="733">
        <v>2.3199999999999998</v>
      </c>
      <c r="AD24" s="733">
        <v>-0.8</v>
      </c>
      <c r="AE24" s="733">
        <v>1.61</v>
      </c>
      <c r="AF24" s="733">
        <v>-4.4400000000000004</v>
      </c>
      <c r="AG24" s="733">
        <v>0.71</v>
      </c>
      <c r="AH24" s="733">
        <v>-0.95</v>
      </c>
      <c r="AI24" s="733">
        <v>0</v>
      </c>
      <c r="AJ24" s="733">
        <v>0.24</v>
      </c>
    </row>
    <row r="25" spans="1:36" s="482" customFormat="1" ht="9.75" hidden="1" customHeight="1">
      <c r="A25" s="946" t="s">
        <v>1212</v>
      </c>
      <c r="B25" s="701">
        <v>-1.78</v>
      </c>
      <c r="C25" s="701">
        <v>0</v>
      </c>
      <c r="D25" s="701">
        <v>0</v>
      </c>
      <c r="E25" s="701">
        <v>-2.21</v>
      </c>
      <c r="F25" s="701">
        <v>0.13</v>
      </c>
      <c r="G25" s="701">
        <v>-0.41</v>
      </c>
      <c r="H25" s="701">
        <v>-0.35</v>
      </c>
      <c r="I25" s="701">
        <v>0</v>
      </c>
      <c r="J25" s="701">
        <v>-7.44</v>
      </c>
      <c r="K25" s="701">
        <v>-5.93</v>
      </c>
      <c r="L25" s="701">
        <v>-0.08</v>
      </c>
      <c r="M25" s="701">
        <v>-0.16</v>
      </c>
      <c r="N25" s="701">
        <v>-0.32</v>
      </c>
      <c r="O25" s="701">
        <v>-1.22</v>
      </c>
      <c r="P25" s="701">
        <v>0</v>
      </c>
      <c r="Q25" s="701">
        <v>-8.0399999999999991</v>
      </c>
      <c r="R25" s="701">
        <v>-3.25</v>
      </c>
      <c r="S25" s="946" t="s">
        <v>1212</v>
      </c>
      <c r="T25" s="701">
        <v>-2.98</v>
      </c>
      <c r="U25" s="701">
        <v>0</v>
      </c>
      <c r="V25" s="701">
        <v>-2.68</v>
      </c>
      <c r="W25" s="701">
        <v>-2.87</v>
      </c>
      <c r="X25" s="701">
        <v>0</v>
      </c>
      <c r="Y25" s="701">
        <v>-0.7</v>
      </c>
      <c r="Z25" s="701">
        <v>0</v>
      </c>
      <c r="AA25" s="701">
        <v>0.66</v>
      </c>
      <c r="AB25" s="701">
        <v>-7.0000000000000007E-2</v>
      </c>
      <c r="AC25" s="701">
        <v>-1.03</v>
      </c>
      <c r="AD25" s="701">
        <v>-0.94</v>
      </c>
      <c r="AE25" s="701">
        <v>-0.12</v>
      </c>
      <c r="AF25" s="701">
        <v>-17.61</v>
      </c>
      <c r="AG25" s="701">
        <v>0.05</v>
      </c>
      <c r="AH25" s="701">
        <v>-2.37</v>
      </c>
      <c r="AI25" s="701">
        <v>0</v>
      </c>
      <c r="AJ25" s="701">
        <v>1.61</v>
      </c>
    </row>
    <row r="26" spans="1:36" s="482" customFormat="1" ht="10.5" hidden="1" customHeight="1">
      <c r="A26" s="934" t="s">
        <v>1206</v>
      </c>
      <c r="B26" s="522">
        <v>4.63</v>
      </c>
      <c r="C26" s="522">
        <v>0</v>
      </c>
      <c r="D26" s="522">
        <v>0</v>
      </c>
      <c r="E26" s="522">
        <v>2.2599999999999998</v>
      </c>
      <c r="F26" s="522">
        <v>0.37</v>
      </c>
      <c r="G26" s="522">
        <v>2.35</v>
      </c>
      <c r="H26" s="522">
        <v>2.3199999999999998</v>
      </c>
      <c r="I26" s="522">
        <v>0</v>
      </c>
      <c r="J26" s="522">
        <v>5.0999999999999996</v>
      </c>
      <c r="K26" s="522">
        <v>-6.06</v>
      </c>
      <c r="L26" s="522">
        <v>0.06</v>
      </c>
      <c r="M26" s="522">
        <v>-0.08</v>
      </c>
      <c r="N26" s="522">
        <v>0.76</v>
      </c>
      <c r="O26" s="522">
        <v>0.86</v>
      </c>
      <c r="P26" s="522">
        <v>0</v>
      </c>
      <c r="Q26" s="522">
        <v>3.26</v>
      </c>
      <c r="R26" s="522">
        <v>7.08</v>
      </c>
      <c r="S26" s="934" t="s">
        <v>1206</v>
      </c>
      <c r="T26" s="522">
        <v>2.14</v>
      </c>
      <c r="U26" s="522">
        <v>0</v>
      </c>
      <c r="V26" s="522">
        <v>-1.04</v>
      </c>
      <c r="W26" s="522">
        <v>3.24</v>
      </c>
      <c r="X26" s="522">
        <v>0</v>
      </c>
      <c r="Y26" s="522">
        <v>2.74</v>
      </c>
      <c r="Z26" s="522">
        <v>0</v>
      </c>
      <c r="AA26" s="522">
        <v>3.39</v>
      </c>
      <c r="AB26" s="522">
        <v>1.56</v>
      </c>
      <c r="AC26" s="522">
        <v>2.96</v>
      </c>
      <c r="AD26" s="522">
        <v>0.66</v>
      </c>
      <c r="AE26" s="522">
        <v>2.75</v>
      </c>
      <c r="AF26" s="522">
        <v>-3.95</v>
      </c>
      <c r="AG26" s="522">
        <v>1.1299999999999999</v>
      </c>
      <c r="AH26" s="522">
        <v>2.5099999999999998</v>
      </c>
      <c r="AI26" s="522">
        <v>0</v>
      </c>
      <c r="AJ26" s="522">
        <v>4.2300000000000004</v>
      </c>
    </row>
    <row r="27" spans="1:36" s="482" customFormat="1" ht="10.5" hidden="1" customHeight="1">
      <c r="A27" s="946" t="s">
        <v>1213</v>
      </c>
      <c r="B27" s="434">
        <v>1.78</v>
      </c>
      <c r="C27" s="434">
        <v>0</v>
      </c>
      <c r="D27" s="434">
        <v>0</v>
      </c>
      <c r="E27" s="434">
        <v>-1.68</v>
      </c>
      <c r="F27" s="434">
        <v>0.09</v>
      </c>
      <c r="G27" s="434">
        <v>1.58</v>
      </c>
      <c r="H27" s="434">
        <v>1.58</v>
      </c>
      <c r="I27" s="434">
        <v>0.01</v>
      </c>
      <c r="J27" s="434">
        <v>2.04</v>
      </c>
      <c r="K27" s="434">
        <v>3.01</v>
      </c>
      <c r="L27" s="434">
        <v>-0.51</v>
      </c>
      <c r="M27" s="434">
        <v>-0.3</v>
      </c>
      <c r="N27" s="434">
        <v>0.48</v>
      </c>
      <c r="O27" s="434">
        <v>3.18</v>
      </c>
      <c r="P27" s="434">
        <v>0</v>
      </c>
      <c r="Q27" s="434">
        <v>1.1200000000000001</v>
      </c>
      <c r="R27" s="434">
        <v>-0.2</v>
      </c>
      <c r="S27" s="946" t="s">
        <v>1213</v>
      </c>
      <c r="T27" s="434">
        <v>1.53</v>
      </c>
      <c r="U27" s="434">
        <v>0</v>
      </c>
      <c r="V27" s="434">
        <v>-1.1200000000000001</v>
      </c>
      <c r="W27" s="434">
        <v>0.12</v>
      </c>
      <c r="X27" s="434">
        <v>0</v>
      </c>
      <c r="Y27" s="434">
        <v>0.91</v>
      </c>
      <c r="Z27" s="434">
        <v>0</v>
      </c>
      <c r="AA27" s="434">
        <v>1.28</v>
      </c>
      <c r="AB27" s="434">
        <v>1.35</v>
      </c>
      <c r="AC27" s="434">
        <v>0.36</v>
      </c>
      <c r="AD27" s="434">
        <v>0.74</v>
      </c>
      <c r="AE27" s="434">
        <v>0.8</v>
      </c>
      <c r="AF27" s="434">
        <v>-4.16</v>
      </c>
      <c r="AG27" s="434">
        <v>0.71</v>
      </c>
      <c r="AH27" s="434">
        <v>0.71</v>
      </c>
      <c r="AI27" s="434">
        <v>0</v>
      </c>
      <c r="AJ27" s="434">
        <v>-0.64</v>
      </c>
    </row>
    <row r="28" spans="1:36" s="482" customFormat="1" ht="10.5" hidden="1" customHeight="1">
      <c r="A28" s="934" t="s">
        <v>1214</v>
      </c>
      <c r="B28" s="733">
        <v>-3.92</v>
      </c>
      <c r="C28" s="733">
        <v>0</v>
      </c>
      <c r="D28" s="733">
        <v>0</v>
      </c>
      <c r="E28" s="733">
        <v>-1.24</v>
      </c>
      <c r="F28" s="733">
        <v>0.16</v>
      </c>
      <c r="G28" s="733">
        <v>-1.1399999999999999</v>
      </c>
      <c r="H28" s="733">
        <v>-1.1100000000000001</v>
      </c>
      <c r="I28" s="733">
        <v>0.01</v>
      </c>
      <c r="J28" s="733">
        <v>-1.82</v>
      </c>
      <c r="K28" s="733">
        <v>-5.66</v>
      </c>
      <c r="L28" s="733">
        <v>0.36</v>
      </c>
      <c r="M28" s="733">
        <v>-3.76</v>
      </c>
      <c r="N28" s="733">
        <v>-0.34</v>
      </c>
      <c r="O28" s="733">
        <v>-2.06</v>
      </c>
      <c r="P28" s="733">
        <v>0</v>
      </c>
      <c r="Q28" s="733">
        <v>-1.68</v>
      </c>
      <c r="R28" s="733">
        <v>-1.54</v>
      </c>
      <c r="S28" s="934" t="s">
        <v>1214</v>
      </c>
      <c r="T28" s="733">
        <v>-3.81</v>
      </c>
      <c r="U28" s="733">
        <v>-0.01</v>
      </c>
      <c r="V28" s="733">
        <v>-1.48</v>
      </c>
      <c r="W28" s="733">
        <v>-0.12</v>
      </c>
      <c r="X28" s="733">
        <v>0.01</v>
      </c>
      <c r="Y28" s="733">
        <v>-3.51</v>
      </c>
      <c r="Z28" s="733">
        <v>0</v>
      </c>
      <c r="AA28" s="733">
        <v>-0.25</v>
      </c>
      <c r="AB28" s="733">
        <v>-1.25</v>
      </c>
      <c r="AC28" s="733">
        <v>-2.41</v>
      </c>
      <c r="AD28" s="733">
        <v>-0.08</v>
      </c>
      <c r="AE28" s="733">
        <v>-0.89</v>
      </c>
      <c r="AF28" s="733">
        <v>-0.92</v>
      </c>
      <c r="AG28" s="733">
        <v>-0.54</v>
      </c>
      <c r="AH28" s="733">
        <v>-0.56000000000000005</v>
      </c>
      <c r="AI28" s="733">
        <v>0</v>
      </c>
      <c r="AJ28" s="733">
        <v>1.97</v>
      </c>
    </row>
    <row r="29" spans="1:36" s="482" customFormat="1" ht="10.5" hidden="1" customHeight="1">
      <c r="A29" s="946" t="s">
        <v>1207</v>
      </c>
      <c r="B29" s="701">
        <v>-2.2400000000000002</v>
      </c>
      <c r="C29" s="701">
        <v>0</v>
      </c>
      <c r="D29" s="701">
        <v>0</v>
      </c>
      <c r="E29" s="701">
        <v>-0.28000000000000003</v>
      </c>
      <c r="F29" s="701">
        <v>0.57999999999999996</v>
      </c>
      <c r="G29" s="701">
        <v>1.58</v>
      </c>
      <c r="H29" s="701">
        <v>1.58</v>
      </c>
      <c r="I29" s="701">
        <v>-0.03</v>
      </c>
      <c r="J29" s="701">
        <v>1</v>
      </c>
      <c r="K29" s="701">
        <v>-1.79</v>
      </c>
      <c r="L29" s="701">
        <v>0.22</v>
      </c>
      <c r="M29" s="701">
        <v>-2.58</v>
      </c>
      <c r="N29" s="701">
        <v>0.11</v>
      </c>
      <c r="O29" s="701">
        <v>-1.74</v>
      </c>
      <c r="P29" s="701">
        <v>0</v>
      </c>
      <c r="Q29" s="701">
        <v>0.59</v>
      </c>
      <c r="R29" s="701">
        <v>0.81</v>
      </c>
      <c r="S29" s="946" t="s">
        <v>1207</v>
      </c>
      <c r="T29" s="701">
        <v>1</v>
      </c>
      <c r="U29" s="701">
        <v>0.01</v>
      </c>
      <c r="V29" s="701">
        <v>2.65</v>
      </c>
      <c r="W29" s="701">
        <v>0</v>
      </c>
      <c r="X29" s="701">
        <v>-0.02</v>
      </c>
      <c r="Y29" s="701">
        <v>1.77</v>
      </c>
      <c r="Z29" s="701">
        <v>-0.01</v>
      </c>
      <c r="AA29" s="701">
        <v>0</v>
      </c>
      <c r="AB29" s="701">
        <v>-0.95</v>
      </c>
      <c r="AC29" s="701">
        <v>2.2000000000000002</v>
      </c>
      <c r="AD29" s="701">
        <v>0</v>
      </c>
      <c r="AE29" s="701">
        <v>2.12</v>
      </c>
      <c r="AF29" s="701">
        <v>-1.1599999999999999</v>
      </c>
      <c r="AG29" s="701">
        <v>0.31</v>
      </c>
      <c r="AH29" s="701">
        <v>0</v>
      </c>
      <c r="AI29" s="701">
        <v>0</v>
      </c>
      <c r="AJ29" s="701">
        <v>0.91</v>
      </c>
    </row>
    <row r="30" spans="1:36" s="482" customFormat="1" ht="10.5" hidden="1" customHeight="1">
      <c r="A30" s="934" t="s">
        <v>1215</v>
      </c>
      <c r="B30" s="733">
        <v>-1.36</v>
      </c>
      <c r="C30" s="733">
        <v>0</v>
      </c>
      <c r="D30" s="733">
        <v>0</v>
      </c>
      <c r="E30" s="733">
        <v>-4.6900000000000004</v>
      </c>
      <c r="F30" s="733">
        <v>-0.13</v>
      </c>
      <c r="G30" s="733">
        <v>-1.8</v>
      </c>
      <c r="H30" s="733">
        <v>-1.77</v>
      </c>
      <c r="I30" s="733">
        <v>-0.16</v>
      </c>
      <c r="J30" s="733">
        <v>-1.25</v>
      </c>
      <c r="K30" s="733">
        <v>-0.25</v>
      </c>
      <c r="L30" s="733">
        <v>-0.37</v>
      </c>
      <c r="M30" s="733">
        <v>2.35</v>
      </c>
      <c r="N30" s="733">
        <v>-7.0000000000000007E-2</v>
      </c>
      <c r="O30" s="733">
        <v>-1.94</v>
      </c>
      <c r="P30" s="733">
        <v>0</v>
      </c>
      <c r="Q30" s="733">
        <v>-1.5</v>
      </c>
      <c r="R30" s="733">
        <v>-0.6</v>
      </c>
      <c r="S30" s="934" t="s">
        <v>1215</v>
      </c>
      <c r="T30" s="733">
        <v>-2.88</v>
      </c>
      <c r="U30" s="733">
        <v>0</v>
      </c>
      <c r="V30" s="733">
        <v>0.21</v>
      </c>
      <c r="W30" s="733">
        <v>0</v>
      </c>
      <c r="X30" s="733">
        <v>0</v>
      </c>
      <c r="Y30" s="733">
        <v>-7.26</v>
      </c>
      <c r="Z30" s="733">
        <v>0</v>
      </c>
      <c r="AA30" s="733">
        <v>0</v>
      </c>
      <c r="AB30" s="733">
        <v>-0.6</v>
      </c>
      <c r="AC30" s="733">
        <v>-1.52</v>
      </c>
      <c r="AD30" s="733">
        <v>0</v>
      </c>
      <c r="AE30" s="733">
        <v>-1.66</v>
      </c>
      <c r="AF30" s="733">
        <v>-1.1200000000000001</v>
      </c>
      <c r="AG30" s="733">
        <v>-0.23</v>
      </c>
      <c r="AH30" s="733">
        <v>0</v>
      </c>
      <c r="AI30" s="733">
        <v>-0.01</v>
      </c>
      <c r="AJ30" s="733">
        <v>-0.12</v>
      </c>
    </row>
    <row r="31" spans="1:36" s="482" customFormat="1" ht="9.75" hidden="1" customHeight="1">
      <c r="A31" s="946" t="s">
        <v>1216</v>
      </c>
      <c r="B31" s="701">
        <v>2.0499999999999998</v>
      </c>
      <c r="C31" s="701">
        <v>0</v>
      </c>
      <c r="D31" s="701">
        <v>0</v>
      </c>
      <c r="E31" s="701">
        <v>0.31</v>
      </c>
      <c r="F31" s="701">
        <v>-0.27</v>
      </c>
      <c r="G31" s="701">
        <v>1.17</v>
      </c>
      <c r="H31" s="701">
        <v>1.18</v>
      </c>
      <c r="I31" s="701">
        <v>7.0000000000000007E-2</v>
      </c>
      <c r="J31" s="701">
        <v>0.92</v>
      </c>
      <c r="K31" s="701">
        <v>4.9000000000000004</v>
      </c>
      <c r="L31" s="701">
        <v>-0.13</v>
      </c>
      <c r="M31" s="701">
        <v>0.57999999999999996</v>
      </c>
      <c r="N31" s="701">
        <v>0.34</v>
      </c>
      <c r="O31" s="701">
        <v>1.95</v>
      </c>
      <c r="P31" s="701">
        <v>0</v>
      </c>
      <c r="Q31" s="701">
        <v>1.66</v>
      </c>
      <c r="R31" s="701">
        <v>2.68</v>
      </c>
      <c r="S31" s="946" t="s">
        <v>1216</v>
      </c>
      <c r="T31" s="701">
        <v>3.49</v>
      </c>
      <c r="U31" s="701">
        <v>0</v>
      </c>
      <c r="V31" s="701">
        <v>0.45</v>
      </c>
      <c r="W31" s="701">
        <v>0</v>
      </c>
      <c r="X31" s="701">
        <v>0</v>
      </c>
      <c r="Y31" s="701">
        <v>-2.42</v>
      </c>
      <c r="Z31" s="701">
        <v>0</v>
      </c>
      <c r="AA31" s="701">
        <v>0</v>
      </c>
      <c r="AB31" s="701">
        <v>0.85</v>
      </c>
      <c r="AC31" s="701">
        <v>0</v>
      </c>
      <c r="AD31" s="701">
        <v>0</v>
      </c>
      <c r="AE31" s="701">
        <v>1.65</v>
      </c>
      <c r="AF31" s="701">
        <v>-0.14000000000000001</v>
      </c>
      <c r="AG31" s="701">
        <v>0.32</v>
      </c>
      <c r="AH31" s="701">
        <v>0</v>
      </c>
      <c r="AI31" s="701">
        <v>0</v>
      </c>
      <c r="AJ31" s="701">
        <v>1.25</v>
      </c>
    </row>
    <row r="32" spans="1:36" s="482" customFormat="1" ht="10.5" hidden="1" customHeight="1">
      <c r="A32" s="934" t="s">
        <v>1208</v>
      </c>
      <c r="B32" s="733">
        <v>3.21</v>
      </c>
      <c r="C32" s="733">
        <v>0.1</v>
      </c>
      <c r="D32" s="733">
        <v>0</v>
      </c>
      <c r="E32" s="733">
        <v>0.67</v>
      </c>
      <c r="F32" s="733">
        <v>-0.5</v>
      </c>
      <c r="G32" s="733">
        <v>0.27</v>
      </c>
      <c r="H32" s="733">
        <v>0.31</v>
      </c>
      <c r="I32" s="733">
        <v>0.05</v>
      </c>
      <c r="J32" s="733">
        <v>3.51</v>
      </c>
      <c r="K32" s="733">
        <v>2.46</v>
      </c>
      <c r="L32" s="733">
        <v>-1.98</v>
      </c>
      <c r="M32" s="733">
        <v>-0.71</v>
      </c>
      <c r="N32" s="733">
        <v>-0.05</v>
      </c>
      <c r="O32" s="733">
        <v>0.57999999999999996</v>
      </c>
      <c r="P32" s="733">
        <v>0</v>
      </c>
      <c r="Q32" s="733">
        <v>2.92</v>
      </c>
      <c r="R32" s="733">
        <v>3.43</v>
      </c>
      <c r="S32" s="934" t="s">
        <v>1208</v>
      </c>
      <c r="T32" s="733">
        <v>0.62</v>
      </c>
      <c r="U32" s="733">
        <v>0</v>
      </c>
      <c r="V32" s="733">
        <v>7.02</v>
      </c>
      <c r="W32" s="733">
        <v>0</v>
      </c>
      <c r="X32" s="733">
        <v>0.01</v>
      </c>
      <c r="Y32" s="733">
        <v>0.75</v>
      </c>
      <c r="Z32" s="733">
        <v>0</v>
      </c>
      <c r="AA32" s="733">
        <v>0</v>
      </c>
      <c r="AB32" s="733">
        <v>0.44</v>
      </c>
      <c r="AC32" s="733">
        <v>0.33</v>
      </c>
      <c r="AD32" s="733">
        <v>0</v>
      </c>
      <c r="AE32" s="733">
        <v>0.19</v>
      </c>
      <c r="AF32" s="733">
        <v>-1</v>
      </c>
      <c r="AG32" s="733">
        <v>0.25</v>
      </c>
      <c r="AH32" s="733">
        <v>0</v>
      </c>
      <c r="AI32" s="733">
        <v>0</v>
      </c>
      <c r="AJ32" s="733">
        <v>-0.26</v>
      </c>
    </row>
    <row r="33" spans="1:36" s="482" customFormat="1" ht="10.5" hidden="1" customHeight="1">
      <c r="A33" s="946" t="s">
        <v>1217</v>
      </c>
      <c r="B33" s="701">
        <v>0.17</v>
      </c>
      <c r="C33" s="701">
        <v>0.03</v>
      </c>
      <c r="D33" s="701">
        <v>0</v>
      </c>
      <c r="E33" s="701">
        <v>0.96</v>
      </c>
      <c r="F33" s="701">
        <v>-0.1</v>
      </c>
      <c r="G33" s="701">
        <v>0.42</v>
      </c>
      <c r="H33" s="701">
        <v>0.4</v>
      </c>
      <c r="I33" s="701">
        <v>0.05</v>
      </c>
      <c r="J33" s="701">
        <v>-0.89</v>
      </c>
      <c r="K33" s="701">
        <v>-1.66</v>
      </c>
      <c r="L33" s="701">
        <v>-0.43</v>
      </c>
      <c r="M33" s="701">
        <v>0.2</v>
      </c>
      <c r="N33" s="701">
        <v>0.14000000000000001</v>
      </c>
      <c r="O33" s="701">
        <v>-0.05</v>
      </c>
      <c r="P33" s="701">
        <v>0</v>
      </c>
      <c r="Q33" s="701">
        <v>-0.48</v>
      </c>
      <c r="R33" s="701">
        <v>-1.25</v>
      </c>
      <c r="S33" s="946" t="s">
        <v>1217</v>
      </c>
      <c r="T33" s="701">
        <v>-0.14000000000000001</v>
      </c>
      <c r="U33" s="701">
        <v>0</v>
      </c>
      <c r="V33" s="701">
        <v>-0.37</v>
      </c>
      <c r="W33" s="701">
        <v>-3.04</v>
      </c>
      <c r="X33" s="701">
        <v>0.01</v>
      </c>
      <c r="Y33" s="701">
        <v>0.36</v>
      </c>
      <c r="Z33" s="701">
        <v>0</v>
      </c>
      <c r="AA33" s="701">
        <v>2.66</v>
      </c>
      <c r="AB33" s="701">
        <v>0.22</v>
      </c>
      <c r="AC33" s="701">
        <v>-0.96</v>
      </c>
      <c r="AD33" s="701">
        <v>0.38</v>
      </c>
      <c r="AE33" s="701">
        <v>0.34</v>
      </c>
      <c r="AF33" s="701">
        <v>-2.16</v>
      </c>
      <c r="AG33" s="701">
        <v>0.36</v>
      </c>
      <c r="AH33" s="701">
        <v>-3.2</v>
      </c>
      <c r="AI33" s="701">
        <v>0</v>
      </c>
      <c r="AJ33" s="701">
        <v>1.1100000000000001</v>
      </c>
    </row>
    <row r="34" spans="1:36" s="482" customFormat="1" ht="10.5" hidden="1" customHeight="1">
      <c r="A34" s="934" t="s">
        <v>1218</v>
      </c>
      <c r="B34" s="733">
        <v>0.45</v>
      </c>
      <c r="C34" s="733">
        <v>0.02</v>
      </c>
      <c r="D34" s="733">
        <v>0</v>
      </c>
      <c r="E34" s="733">
        <v>1</v>
      </c>
      <c r="F34" s="733">
        <v>-0.19</v>
      </c>
      <c r="G34" s="733">
        <v>-1.27</v>
      </c>
      <c r="H34" s="733">
        <v>-1.27</v>
      </c>
      <c r="I34" s="733">
        <v>0.01</v>
      </c>
      <c r="J34" s="733">
        <v>2.08</v>
      </c>
      <c r="K34" s="733">
        <v>-1.05</v>
      </c>
      <c r="L34" s="733">
        <v>-0.28000000000000003</v>
      </c>
      <c r="M34" s="733">
        <v>0.85</v>
      </c>
      <c r="N34" s="733">
        <v>-0.16</v>
      </c>
      <c r="O34" s="733">
        <v>1.52</v>
      </c>
      <c r="P34" s="733">
        <v>0</v>
      </c>
      <c r="Q34" s="733">
        <v>2.2200000000000002</v>
      </c>
      <c r="R34" s="733">
        <v>-0.64</v>
      </c>
      <c r="S34" s="934" t="s">
        <v>1218</v>
      </c>
      <c r="T34" s="733">
        <v>0.6</v>
      </c>
      <c r="U34" s="733">
        <v>0</v>
      </c>
      <c r="V34" s="733">
        <v>-0.25</v>
      </c>
      <c r="W34" s="733">
        <v>1.56</v>
      </c>
      <c r="X34" s="733">
        <v>0.02</v>
      </c>
      <c r="Y34" s="733">
        <v>3.25</v>
      </c>
      <c r="Z34" s="733">
        <v>0</v>
      </c>
      <c r="AA34" s="733">
        <v>1.05</v>
      </c>
      <c r="AB34" s="733">
        <v>0.15</v>
      </c>
      <c r="AC34" s="733">
        <v>-1.86</v>
      </c>
      <c r="AD34" s="733">
        <v>0.16</v>
      </c>
      <c r="AE34" s="733">
        <v>-1.32</v>
      </c>
      <c r="AF34" s="733">
        <v>-0.84</v>
      </c>
      <c r="AG34" s="733">
        <v>-0.66</v>
      </c>
      <c r="AH34" s="733">
        <v>-1.57</v>
      </c>
      <c r="AI34" s="733">
        <v>0</v>
      </c>
      <c r="AJ34" s="733">
        <v>-0.4</v>
      </c>
    </row>
    <row r="35" spans="1:36" s="482" customFormat="1" ht="10.5" hidden="1" customHeight="1">
      <c r="A35" s="946" t="s">
        <v>1209</v>
      </c>
      <c r="B35" s="701">
        <v>1.23</v>
      </c>
      <c r="C35" s="701">
        <v>0</v>
      </c>
      <c r="D35" s="701">
        <v>0</v>
      </c>
      <c r="E35" s="701">
        <v>1.71</v>
      </c>
      <c r="F35" s="701">
        <v>0.27</v>
      </c>
      <c r="G35" s="701">
        <v>0.23</v>
      </c>
      <c r="H35" s="701">
        <v>0.11</v>
      </c>
      <c r="I35" s="701">
        <v>0.02</v>
      </c>
      <c r="J35" s="701">
        <v>-1.42</v>
      </c>
      <c r="K35" s="701">
        <v>-2.5499999999999998</v>
      </c>
      <c r="L35" s="701">
        <v>-0.19</v>
      </c>
      <c r="M35" s="701">
        <v>0.32</v>
      </c>
      <c r="N35" s="701">
        <v>0.02</v>
      </c>
      <c r="O35" s="701">
        <v>0.22</v>
      </c>
      <c r="P35" s="701">
        <v>0</v>
      </c>
      <c r="Q35" s="701">
        <v>-1.42</v>
      </c>
      <c r="R35" s="701">
        <v>3.39</v>
      </c>
      <c r="S35" s="946" t="s">
        <v>1209</v>
      </c>
      <c r="T35" s="701">
        <v>-2.42</v>
      </c>
      <c r="U35" s="701">
        <v>0</v>
      </c>
      <c r="V35" s="701">
        <v>-0.02</v>
      </c>
      <c r="W35" s="701">
        <v>0.25</v>
      </c>
      <c r="X35" s="701">
        <v>-0.03</v>
      </c>
      <c r="Y35" s="701">
        <v>2.31</v>
      </c>
      <c r="Z35" s="701">
        <v>0</v>
      </c>
      <c r="AA35" s="701">
        <v>0.84</v>
      </c>
      <c r="AB35" s="701">
        <v>0.34</v>
      </c>
      <c r="AC35" s="701">
        <v>-0.74</v>
      </c>
      <c r="AD35" s="701">
        <v>0.05</v>
      </c>
      <c r="AE35" s="701">
        <v>0.53</v>
      </c>
      <c r="AF35" s="701">
        <v>-0.2</v>
      </c>
      <c r="AG35" s="701">
        <v>0.25</v>
      </c>
      <c r="AH35" s="701">
        <v>1.1399999999999999</v>
      </c>
      <c r="AI35" s="701">
        <v>0.01</v>
      </c>
      <c r="AJ35" s="701">
        <v>1.63</v>
      </c>
    </row>
    <row r="36" spans="1:36" s="482" customFormat="1" ht="10.5" customHeight="1">
      <c r="A36" s="1059" t="s">
        <v>2376</v>
      </c>
      <c r="B36" s="1058">
        <v>-18.440000000000001</v>
      </c>
      <c r="C36" s="1058">
        <v>-0.22</v>
      </c>
      <c r="D36" s="1058">
        <v>-0.01</v>
      </c>
      <c r="E36" s="1058">
        <v>-13.97</v>
      </c>
      <c r="F36" s="1058">
        <v>0.64</v>
      </c>
      <c r="G36" s="1058">
        <v>-17.73</v>
      </c>
      <c r="H36" s="1058">
        <v>-17.670000000000002</v>
      </c>
      <c r="I36" s="1058">
        <v>-0.01</v>
      </c>
      <c r="J36" s="1058">
        <v>-5.75</v>
      </c>
      <c r="K36" s="1058">
        <v>-10.130000000000001</v>
      </c>
      <c r="L36" s="1058">
        <v>-12.59</v>
      </c>
      <c r="M36" s="1058">
        <v>-17.21</v>
      </c>
      <c r="N36" s="1058">
        <v>-6.77</v>
      </c>
      <c r="O36" s="1058">
        <v>-15.23</v>
      </c>
      <c r="P36" s="1058">
        <v>-99.43</v>
      </c>
      <c r="Q36" s="1058">
        <v>-5.44</v>
      </c>
      <c r="R36" s="1058">
        <v>-21.92</v>
      </c>
      <c r="S36" s="1059" t="s">
        <v>2376</v>
      </c>
      <c r="T36" s="1058">
        <v>-22.06</v>
      </c>
      <c r="U36" s="1058">
        <v>0.01</v>
      </c>
      <c r="V36" s="1058">
        <v>-3.09</v>
      </c>
      <c r="W36" s="1058">
        <v>-3.09</v>
      </c>
      <c r="X36" s="1058">
        <v>-0.01</v>
      </c>
      <c r="Y36" s="1058">
        <v>-39.450000000000003</v>
      </c>
      <c r="Z36" s="1058">
        <v>-0.01</v>
      </c>
      <c r="AA36" s="1058">
        <v>-9.57</v>
      </c>
      <c r="AB36" s="1058">
        <v>-7.17</v>
      </c>
      <c r="AC36" s="1058">
        <v>-18.239999999999998</v>
      </c>
      <c r="AD36" s="1058">
        <v>-2.5499999999999998</v>
      </c>
      <c r="AE36" s="1058">
        <v>-3.8</v>
      </c>
      <c r="AF36" s="1058">
        <v>-31.24</v>
      </c>
      <c r="AG36" s="1058">
        <v>-9.1199999999999992</v>
      </c>
      <c r="AH36" s="1058">
        <v>-3.91</v>
      </c>
      <c r="AI36" s="1058">
        <v>0</v>
      </c>
      <c r="AJ36" s="1058">
        <v>-7.63</v>
      </c>
    </row>
    <row r="37" spans="1:36" s="482" customFormat="1" ht="9.75" customHeight="1">
      <c r="A37" s="946" t="s">
        <v>1211</v>
      </c>
      <c r="B37" s="701">
        <v>-1.02</v>
      </c>
      <c r="C37" s="701">
        <v>0.14000000000000001</v>
      </c>
      <c r="D37" s="701">
        <v>0</v>
      </c>
      <c r="E37" s="701">
        <v>-2.1800000000000002</v>
      </c>
      <c r="F37" s="701">
        <v>-0.24</v>
      </c>
      <c r="G37" s="701">
        <v>-1.87</v>
      </c>
      <c r="H37" s="701">
        <v>-1.87</v>
      </c>
      <c r="I37" s="701">
        <v>0.01</v>
      </c>
      <c r="J37" s="701">
        <v>-0.03</v>
      </c>
      <c r="K37" s="701">
        <v>3.48</v>
      </c>
      <c r="L37" s="701">
        <v>-2.37</v>
      </c>
      <c r="M37" s="701">
        <v>-1.33</v>
      </c>
      <c r="N37" s="701">
        <v>-0.53</v>
      </c>
      <c r="O37" s="701">
        <v>0.6</v>
      </c>
      <c r="P37" s="701">
        <v>-99.34</v>
      </c>
      <c r="Q37" s="701">
        <v>0.02</v>
      </c>
      <c r="R37" s="701">
        <v>-3.36</v>
      </c>
      <c r="S37" s="946" t="s">
        <v>1211</v>
      </c>
      <c r="T37" s="701">
        <v>-2.13</v>
      </c>
      <c r="U37" s="701">
        <v>0</v>
      </c>
      <c r="V37" s="701">
        <v>-0.1</v>
      </c>
      <c r="W37" s="701">
        <v>0.67</v>
      </c>
      <c r="X37" s="701">
        <v>0</v>
      </c>
      <c r="Y37" s="701">
        <v>-5.14</v>
      </c>
      <c r="Z37" s="701">
        <v>0</v>
      </c>
      <c r="AA37" s="701">
        <v>-1.4</v>
      </c>
      <c r="AB37" s="701">
        <v>0.41</v>
      </c>
      <c r="AC37" s="701">
        <v>-2.1</v>
      </c>
      <c r="AD37" s="701">
        <v>0.09</v>
      </c>
      <c r="AE37" s="701">
        <v>-1.99</v>
      </c>
      <c r="AF37" s="701">
        <v>0.03</v>
      </c>
      <c r="AG37" s="701">
        <v>-0.71</v>
      </c>
      <c r="AH37" s="701">
        <v>1.3</v>
      </c>
      <c r="AI37" s="701">
        <v>-0.01</v>
      </c>
      <c r="AJ37" s="701">
        <v>-0.69</v>
      </c>
    </row>
    <row r="38" spans="1:36" s="482" customFormat="1" ht="10.5" customHeight="1">
      <c r="A38" s="934" t="s">
        <v>1212</v>
      </c>
      <c r="B38" s="733">
        <v>0.11</v>
      </c>
      <c r="C38" s="733">
        <v>0.15</v>
      </c>
      <c r="D38" s="733">
        <v>0</v>
      </c>
      <c r="E38" s="733">
        <v>0.25</v>
      </c>
      <c r="F38" s="733">
        <v>0.05</v>
      </c>
      <c r="G38" s="733">
        <v>-1.8</v>
      </c>
      <c r="H38" s="733">
        <v>-1.9</v>
      </c>
      <c r="I38" s="733">
        <v>0</v>
      </c>
      <c r="J38" s="733">
        <v>-0.76</v>
      </c>
      <c r="K38" s="733">
        <v>-0.96</v>
      </c>
      <c r="L38" s="733">
        <v>-1.31</v>
      </c>
      <c r="M38" s="733">
        <v>-1.2</v>
      </c>
      <c r="N38" s="733">
        <v>-0.51</v>
      </c>
      <c r="O38" s="733">
        <v>1.22</v>
      </c>
      <c r="P38" s="733">
        <v>0.15</v>
      </c>
      <c r="Q38" s="733">
        <v>-0.72</v>
      </c>
      <c r="R38" s="733">
        <v>-1.44</v>
      </c>
      <c r="S38" s="934" t="s">
        <v>1212</v>
      </c>
      <c r="T38" s="733">
        <v>0.99</v>
      </c>
      <c r="U38" s="733">
        <v>0</v>
      </c>
      <c r="V38" s="733">
        <v>-2.99</v>
      </c>
      <c r="W38" s="733">
        <v>-0.51</v>
      </c>
      <c r="X38" s="733">
        <v>-0.01</v>
      </c>
      <c r="Y38" s="733">
        <v>-1.71</v>
      </c>
      <c r="Z38" s="733">
        <v>0</v>
      </c>
      <c r="AA38" s="733">
        <v>1.24</v>
      </c>
      <c r="AB38" s="733">
        <v>-0.36</v>
      </c>
      <c r="AC38" s="733">
        <v>-1.54</v>
      </c>
      <c r="AD38" s="733">
        <v>0</v>
      </c>
      <c r="AE38" s="733">
        <v>-0.98</v>
      </c>
      <c r="AF38" s="733">
        <v>-2.64</v>
      </c>
      <c r="AG38" s="733">
        <v>-0.97</v>
      </c>
      <c r="AH38" s="733">
        <v>0.33</v>
      </c>
      <c r="AI38" s="733">
        <v>0</v>
      </c>
      <c r="AJ38" s="733">
        <v>-1.85</v>
      </c>
    </row>
    <row r="39" spans="1:36" s="482" customFormat="1" ht="10.5" customHeight="1">
      <c r="A39" s="946" t="s">
        <v>1206</v>
      </c>
      <c r="B39" s="701">
        <v>-6.66</v>
      </c>
      <c r="C39" s="701">
        <v>0.01</v>
      </c>
      <c r="D39" s="701">
        <v>0</v>
      </c>
      <c r="E39" s="701">
        <v>-2.52</v>
      </c>
      <c r="F39" s="701">
        <v>0.2</v>
      </c>
      <c r="G39" s="701">
        <v>-3.36</v>
      </c>
      <c r="H39" s="701">
        <v>-3.44</v>
      </c>
      <c r="I39" s="701">
        <v>-0.25</v>
      </c>
      <c r="J39" s="701">
        <v>-1.69</v>
      </c>
      <c r="K39" s="701">
        <v>-4.0199999999999996</v>
      </c>
      <c r="L39" s="701">
        <v>-0.25</v>
      </c>
      <c r="M39" s="701">
        <v>-4.92</v>
      </c>
      <c r="N39" s="701">
        <v>-1.1499999999999999</v>
      </c>
      <c r="O39" s="701">
        <v>-3.67</v>
      </c>
      <c r="P39" s="701">
        <v>-2.12</v>
      </c>
      <c r="Q39" s="701">
        <v>-1.27</v>
      </c>
      <c r="R39" s="701">
        <v>-7.21</v>
      </c>
      <c r="S39" s="946" t="s">
        <v>1206</v>
      </c>
      <c r="T39" s="701">
        <v>-3.83</v>
      </c>
      <c r="U39" s="701">
        <v>0</v>
      </c>
      <c r="V39" s="701">
        <v>-0.78</v>
      </c>
      <c r="W39" s="701">
        <v>-2.63</v>
      </c>
      <c r="X39" s="701">
        <v>0</v>
      </c>
      <c r="Y39" s="701">
        <v>-8.1999999999999993</v>
      </c>
      <c r="Z39" s="701">
        <v>-0.01</v>
      </c>
      <c r="AA39" s="701">
        <v>-3.74</v>
      </c>
      <c r="AB39" s="701">
        <v>-2.0499999999999998</v>
      </c>
      <c r="AC39" s="701">
        <v>-3.34</v>
      </c>
      <c r="AD39" s="701">
        <v>-0.17</v>
      </c>
      <c r="AE39" s="701">
        <v>-3.51</v>
      </c>
      <c r="AF39" s="701">
        <v>-4.03</v>
      </c>
      <c r="AG39" s="701">
        <v>-2.04</v>
      </c>
      <c r="AH39" s="701">
        <v>-1.31</v>
      </c>
      <c r="AI39" s="701">
        <v>0.01</v>
      </c>
      <c r="AJ39" s="701">
        <v>-2.1800000000000002</v>
      </c>
    </row>
    <row r="40" spans="1:36" s="482" customFormat="1" ht="10.5" customHeight="1">
      <c r="A40" s="934" t="s">
        <v>1213</v>
      </c>
      <c r="B40" s="733">
        <v>1.3</v>
      </c>
      <c r="C40" s="733">
        <v>-0.01</v>
      </c>
      <c r="D40" s="733">
        <v>0</v>
      </c>
      <c r="E40" s="733">
        <v>-0.38</v>
      </c>
      <c r="F40" s="733">
        <v>0.1</v>
      </c>
      <c r="G40" s="733">
        <v>-0.65</v>
      </c>
      <c r="H40" s="733">
        <v>-0.62</v>
      </c>
      <c r="I40" s="733">
        <v>0.19</v>
      </c>
      <c r="J40" s="733">
        <v>0.2</v>
      </c>
      <c r="K40" s="733">
        <v>0.77</v>
      </c>
      <c r="L40" s="733">
        <v>-0.14000000000000001</v>
      </c>
      <c r="M40" s="733">
        <v>0.18</v>
      </c>
      <c r="N40" s="733">
        <v>-0.52</v>
      </c>
      <c r="O40" s="733">
        <v>-0.37</v>
      </c>
      <c r="P40" s="733">
        <v>-1.49</v>
      </c>
      <c r="Q40" s="733">
        <v>0.06</v>
      </c>
      <c r="R40" s="733">
        <v>1.06</v>
      </c>
      <c r="S40" s="934" t="s">
        <v>1213</v>
      </c>
      <c r="T40" s="733">
        <v>-3.91</v>
      </c>
      <c r="U40" s="733">
        <v>0</v>
      </c>
      <c r="V40" s="733">
        <v>-0.28999999999999998</v>
      </c>
      <c r="W40" s="733">
        <v>0.03</v>
      </c>
      <c r="X40" s="733">
        <v>0</v>
      </c>
      <c r="Y40" s="733">
        <v>-8.77</v>
      </c>
      <c r="Z40" s="733">
        <v>-0.02</v>
      </c>
      <c r="AA40" s="733">
        <v>-0.32</v>
      </c>
      <c r="AB40" s="733">
        <v>-0.19</v>
      </c>
      <c r="AC40" s="733">
        <v>-1.55</v>
      </c>
      <c r="AD40" s="733">
        <v>-0.4</v>
      </c>
      <c r="AE40" s="733">
        <v>-0.51</v>
      </c>
      <c r="AF40" s="733">
        <v>-2.97</v>
      </c>
      <c r="AG40" s="733">
        <v>-0.44</v>
      </c>
      <c r="AH40" s="733">
        <v>-0.32</v>
      </c>
      <c r="AI40" s="733">
        <v>-0.01</v>
      </c>
      <c r="AJ40" s="733">
        <v>-1.49</v>
      </c>
    </row>
    <row r="41" spans="1:36" s="482" customFormat="1" ht="9.75" customHeight="1">
      <c r="A41" s="946" t="s">
        <v>1214</v>
      </c>
      <c r="B41" s="701">
        <v>-3.66</v>
      </c>
      <c r="C41" s="701">
        <v>-0.37</v>
      </c>
      <c r="D41" s="701">
        <v>0</v>
      </c>
      <c r="E41" s="701">
        <v>-1.99</v>
      </c>
      <c r="F41" s="701">
        <v>0.19</v>
      </c>
      <c r="G41" s="701">
        <v>-1.29</v>
      </c>
      <c r="H41" s="701">
        <v>-1.3</v>
      </c>
      <c r="I41" s="701">
        <v>0</v>
      </c>
      <c r="J41" s="701">
        <v>-1.24</v>
      </c>
      <c r="K41" s="701">
        <v>-0.96</v>
      </c>
      <c r="L41" s="701">
        <v>-0.41</v>
      </c>
      <c r="M41" s="701">
        <v>-7.95</v>
      </c>
      <c r="N41" s="701">
        <v>-0.67</v>
      </c>
      <c r="O41" s="701">
        <v>-2.93</v>
      </c>
      <c r="P41" s="701">
        <v>-2.42</v>
      </c>
      <c r="Q41" s="701">
        <v>-1.02</v>
      </c>
      <c r="R41" s="701">
        <v>-0.05</v>
      </c>
      <c r="S41" s="946" t="s">
        <v>1214</v>
      </c>
      <c r="T41" s="701">
        <v>-4.79</v>
      </c>
      <c r="U41" s="701">
        <v>0</v>
      </c>
      <c r="V41" s="701">
        <v>1.1299999999999999</v>
      </c>
      <c r="W41" s="701">
        <v>-0.28000000000000003</v>
      </c>
      <c r="X41" s="701">
        <v>0.01</v>
      </c>
      <c r="Y41" s="701">
        <v>-8.86</v>
      </c>
      <c r="Z41" s="701">
        <v>-0.04</v>
      </c>
      <c r="AA41" s="701">
        <v>-5.0599999999999996</v>
      </c>
      <c r="AB41" s="701">
        <v>-1.98</v>
      </c>
      <c r="AC41" s="701">
        <v>-1.51</v>
      </c>
      <c r="AD41" s="701">
        <v>-0.13</v>
      </c>
      <c r="AE41" s="701">
        <v>-1.02</v>
      </c>
      <c r="AF41" s="701">
        <v>-3.23</v>
      </c>
      <c r="AG41" s="701">
        <v>-1.1100000000000001</v>
      </c>
      <c r="AH41" s="701">
        <v>-1.19</v>
      </c>
      <c r="AI41" s="701">
        <v>0</v>
      </c>
      <c r="AJ41" s="701">
        <v>-2.25</v>
      </c>
    </row>
    <row r="42" spans="1:36" s="482" customFormat="1" ht="10.5" customHeight="1">
      <c r="A42" s="934" t="s">
        <v>1207</v>
      </c>
      <c r="B42" s="733">
        <v>-3.79</v>
      </c>
      <c r="C42" s="733">
        <v>-0.32</v>
      </c>
      <c r="D42" s="733">
        <v>-0.01</v>
      </c>
      <c r="E42" s="733">
        <v>-1.56</v>
      </c>
      <c r="F42" s="733">
        <v>0.25</v>
      </c>
      <c r="G42" s="733">
        <v>-2.36</v>
      </c>
      <c r="H42" s="733">
        <v>-2.3199999999999998</v>
      </c>
      <c r="I42" s="733">
        <v>-0.03</v>
      </c>
      <c r="J42" s="733">
        <v>-1.85</v>
      </c>
      <c r="K42" s="733">
        <v>-1.84</v>
      </c>
      <c r="L42" s="733">
        <v>-1.19</v>
      </c>
      <c r="M42" s="733">
        <v>-0.63</v>
      </c>
      <c r="N42" s="733">
        <v>-0.44</v>
      </c>
      <c r="O42" s="733">
        <v>-3.22</v>
      </c>
      <c r="P42" s="733">
        <v>-0.05</v>
      </c>
      <c r="Q42" s="733">
        <v>-2.13</v>
      </c>
      <c r="R42" s="733">
        <v>-0.14000000000000001</v>
      </c>
      <c r="S42" s="934" t="s">
        <v>1207</v>
      </c>
      <c r="T42" s="733">
        <v>-5.09</v>
      </c>
      <c r="U42" s="733">
        <v>-0.01</v>
      </c>
      <c r="V42" s="733">
        <v>0.79</v>
      </c>
      <c r="W42" s="733">
        <v>0.42</v>
      </c>
      <c r="X42" s="733">
        <v>-0.02</v>
      </c>
      <c r="Y42" s="733">
        <v>-19.829999999999998</v>
      </c>
      <c r="Z42" s="733">
        <v>-0.01</v>
      </c>
      <c r="AA42" s="733">
        <v>1.95</v>
      </c>
      <c r="AB42" s="733">
        <v>-1.39</v>
      </c>
      <c r="AC42" s="733">
        <v>-3.64</v>
      </c>
      <c r="AD42" s="733">
        <v>-0.08</v>
      </c>
      <c r="AE42" s="733">
        <v>-2.3199999999999998</v>
      </c>
      <c r="AF42" s="733">
        <v>-5.01</v>
      </c>
      <c r="AG42" s="733">
        <v>-1.0900000000000001</v>
      </c>
      <c r="AH42" s="733">
        <v>-0.06</v>
      </c>
      <c r="AI42" s="733">
        <v>0</v>
      </c>
      <c r="AJ42" s="733">
        <v>-0.49</v>
      </c>
    </row>
    <row r="43" spans="1:36" s="482" customFormat="1" ht="10.5" customHeight="1">
      <c r="A43" s="946" t="s">
        <v>1215</v>
      </c>
      <c r="B43" s="701">
        <v>-4.8899999999999997</v>
      </c>
      <c r="C43" s="701">
        <v>0.19</v>
      </c>
      <c r="D43" s="701">
        <v>0.01</v>
      </c>
      <c r="E43" s="701">
        <v>-8.66</v>
      </c>
      <c r="F43" s="701">
        <v>-0.28999999999999998</v>
      </c>
      <c r="G43" s="701">
        <v>-6.98</v>
      </c>
      <c r="H43" s="701">
        <v>-7.13</v>
      </c>
      <c r="I43" s="701">
        <v>0.06</v>
      </c>
      <c r="J43" s="701">
        <v>2.2000000000000002</v>
      </c>
      <c r="K43" s="701">
        <v>-1.86</v>
      </c>
      <c r="L43" s="701">
        <v>-1.42</v>
      </c>
      <c r="M43" s="701">
        <v>1.74</v>
      </c>
      <c r="N43" s="701">
        <v>-0.85</v>
      </c>
      <c r="O43" s="701">
        <v>-3.73</v>
      </c>
      <c r="P43" s="701">
        <v>0.44</v>
      </c>
      <c r="Q43" s="701">
        <v>3.03</v>
      </c>
      <c r="R43" s="701">
        <v>-7.14</v>
      </c>
      <c r="S43" s="946" t="s">
        <v>1215</v>
      </c>
      <c r="T43" s="701">
        <v>-3.99</v>
      </c>
      <c r="U43" s="701">
        <v>0</v>
      </c>
      <c r="V43" s="701">
        <v>-0.1</v>
      </c>
      <c r="W43" s="701">
        <v>1.3</v>
      </c>
      <c r="X43" s="701">
        <v>0.01</v>
      </c>
      <c r="Y43" s="701">
        <v>-13.06</v>
      </c>
      <c r="Z43" s="701">
        <v>-0.15</v>
      </c>
      <c r="AA43" s="701">
        <v>-0.96</v>
      </c>
      <c r="AB43" s="701">
        <v>-2.35</v>
      </c>
      <c r="AC43" s="701">
        <v>-6.45</v>
      </c>
      <c r="AD43" s="701">
        <v>-0.74</v>
      </c>
      <c r="AE43" s="701">
        <v>7.54</v>
      </c>
      <c r="AF43" s="701">
        <v>-5.15</v>
      </c>
      <c r="AG43" s="701">
        <v>-2.66</v>
      </c>
      <c r="AH43" s="701">
        <v>0.46</v>
      </c>
      <c r="AI43" s="701">
        <v>0</v>
      </c>
      <c r="AJ43" s="701">
        <v>-3.14</v>
      </c>
    </row>
    <row r="44" spans="1:36" s="482" customFormat="1" ht="10.5" customHeight="1">
      <c r="A44" s="934" t="s">
        <v>1216</v>
      </c>
      <c r="B44" s="733">
        <v>0.36</v>
      </c>
      <c r="C44" s="733">
        <v>0</v>
      </c>
      <c r="D44" s="733">
        <v>0</v>
      </c>
      <c r="E44" s="733">
        <v>1.66</v>
      </c>
      <c r="F44" s="733">
        <v>-0.17</v>
      </c>
      <c r="G44" s="733">
        <v>-1.25</v>
      </c>
      <c r="H44" s="733">
        <v>-0.86</v>
      </c>
      <c r="I44" s="733">
        <v>-0.05</v>
      </c>
      <c r="J44" s="733">
        <v>0.57999999999999996</v>
      </c>
      <c r="K44" s="733">
        <v>-1.99</v>
      </c>
      <c r="L44" s="733">
        <v>-0.65</v>
      </c>
      <c r="M44" s="733">
        <v>-1.86</v>
      </c>
      <c r="N44" s="733">
        <v>-0.25</v>
      </c>
      <c r="O44" s="733">
        <v>0.54</v>
      </c>
      <c r="P44" s="733">
        <v>-0.82</v>
      </c>
      <c r="Q44" s="733">
        <v>-1.44</v>
      </c>
      <c r="R44" s="733">
        <v>4.05</v>
      </c>
      <c r="S44" s="934" t="s">
        <v>1216</v>
      </c>
      <c r="T44" s="733">
        <v>0.82</v>
      </c>
      <c r="U44" s="733">
        <v>-0.04</v>
      </c>
      <c r="V44" s="733">
        <v>-0.74</v>
      </c>
      <c r="W44" s="733">
        <v>0.2</v>
      </c>
      <c r="X44" s="733">
        <v>0.01</v>
      </c>
      <c r="Y44" s="733">
        <v>10.8</v>
      </c>
      <c r="Z44" s="733">
        <v>0.24</v>
      </c>
      <c r="AA44" s="733">
        <v>0.1</v>
      </c>
      <c r="AB44" s="733">
        <v>-0.67</v>
      </c>
      <c r="AC44" s="733">
        <v>-0.84</v>
      </c>
      <c r="AD44" s="733">
        <v>-0.69</v>
      </c>
      <c r="AE44" s="733">
        <v>-3.54</v>
      </c>
      <c r="AF44" s="733">
        <v>-7.14</v>
      </c>
      <c r="AG44" s="733">
        <v>-0.17</v>
      </c>
      <c r="AH44" s="733">
        <v>1.1399999999999999</v>
      </c>
      <c r="AI44" s="733">
        <v>0</v>
      </c>
      <c r="AJ44" s="733">
        <v>2.41</v>
      </c>
    </row>
    <row r="45" spans="1:36" s="482" customFormat="1" ht="10.5" customHeight="1">
      <c r="A45" s="1164" t="s">
        <v>1208</v>
      </c>
      <c r="B45" s="434">
        <v>-2.1800000000000002</v>
      </c>
      <c r="C45" s="434">
        <v>0</v>
      </c>
      <c r="D45" s="434">
        <v>0</v>
      </c>
      <c r="E45" s="434">
        <v>-1.58</v>
      </c>
      <c r="F45" s="434">
        <v>0.09</v>
      </c>
      <c r="G45" s="434">
        <v>-3.37</v>
      </c>
      <c r="H45" s="434">
        <v>-3.3</v>
      </c>
      <c r="I45" s="434">
        <v>0.01</v>
      </c>
      <c r="J45" s="434">
        <v>-1.34</v>
      </c>
      <c r="K45" s="434">
        <v>-1.24</v>
      </c>
      <c r="L45" s="434">
        <v>-1.23</v>
      </c>
      <c r="M45" s="434">
        <v>-0.42</v>
      </c>
      <c r="N45" s="434">
        <v>-1.51</v>
      </c>
      <c r="O45" s="434">
        <v>-2.84</v>
      </c>
      <c r="P45" s="434">
        <v>0.34</v>
      </c>
      <c r="Q45" s="434">
        <v>-0.56000000000000005</v>
      </c>
      <c r="R45" s="434">
        <v>-0.89</v>
      </c>
      <c r="S45" s="1164" t="s">
        <v>1208</v>
      </c>
      <c r="T45" s="434">
        <v>-4.49</v>
      </c>
      <c r="U45" s="434">
        <v>0.05</v>
      </c>
      <c r="V45" s="434">
        <v>-0.04</v>
      </c>
      <c r="W45" s="434">
        <v>-1.37</v>
      </c>
      <c r="X45" s="434">
        <v>0.01</v>
      </c>
      <c r="Y45" s="434">
        <v>6.52</v>
      </c>
      <c r="Z45" s="434">
        <v>-0.02</v>
      </c>
      <c r="AA45" s="434">
        <v>-0.95</v>
      </c>
      <c r="AB45" s="434">
        <v>-0.94</v>
      </c>
      <c r="AC45" s="434">
        <v>-3.22</v>
      </c>
      <c r="AD45" s="434">
        <v>0.04</v>
      </c>
      <c r="AE45" s="434">
        <v>-1.45</v>
      </c>
      <c r="AF45" s="434">
        <v>-3.8</v>
      </c>
      <c r="AG45" s="434">
        <v>-1.7</v>
      </c>
      <c r="AH45" s="434">
        <v>-0.54</v>
      </c>
      <c r="AI45" s="434">
        <v>0.01</v>
      </c>
      <c r="AJ45" s="434">
        <v>-4.17</v>
      </c>
    </row>
    <row r="46" spans="1:36" s="482" customFormat="1" ht="10.5" customHeight="1">
      <c r="A46" s="1183" t="s">
        <v>1217</v>
      </c>
      <c r="B46" s="522">
        <v>4.93</v>
      </c>
      <c r="C46" s="522">
        <v>0</v>
      </c>
      <c r="D46" s="522">
        <v>0</v>
      </c>
      <c r="E46" s="522">
        <v>5.65</v>
      </c>
      <c r="F46" s="522">
        <v>0.47</v>
      </c>
      <c r="G46" s="522">
        <v>2.8</v>
      </c>
      <c r="H46" s="522">
        <v>2.7</v>
      </c>
      <c r="I46" s="522">
        <v>0.06</v>
      </c>
      <c r="J46" s="522">
        <v>-1.57</v>
      </c>
      <c r="K46" s="522">
        <v>1.1599999999999999</v>
      </c>
      <c r="L46" s="522">
        <v>-1.1100000000000001</v>
      </c>
      <c r="M46" s="522">
        <v>0.9</v>
      </c>
      <c r="N46" s="522">
        <v>-0.25</v>
      </c>
      <c r="O46" s="522">
        <v>4.18</v>
      </c>
      <c r="P46" s="522">
        <v>-4.26</v>
      </c>
      <c r="Q46" s="522">
        <v>-1.28</v>
      </c>
      <c r="R46" s="522">
        <v>2.56</v>
      </c>
      <c r="S46" s="1183" t="s">
        <v>1217</v>
      </c>
      <c r="T46" s="522">
        <v>6.64</v>
      </c>
      <c r="U46" s="522">
        <v>0</v>
      </c>
      <c r="V46" s="522">
        <v>0.24</v>
      </c>
      <c r="W46" s="522">
        <v>0.24</v>
      </c>
      <c r="X46" s="522">
        <v>0.02</v>
      </c>
      <c r="Y46" s="522">
        <v>13.7</v>
      </c>
      <c r="Z46" s="522">
        <v>0.03</v>
      </c>
      <c r="AA46" s="522">
        <v>3.91</v>
      </c>
      <c r="AB46" s="522">
        <v>4.0999999999999996</v>
      </c>
      <c r="AC46" s="522">
        <v>3.31</v>
      </c>
      <c r="AD46" s="522">
        <v>0</v>
      </c>
      <c r="AE46" s="522">
        <v>2.94</v>
      </c>
      <c r="AF46" s="522">
        <v>-3.79</v>
      </c>
      <c r="AG46" s="522">
        <v>0.98</v>
      </c>
      <c r="AH46" s="522">
        <v>-1.05</v>
      </c>
      <c r="AI46" s="522">
        <v>-0.01</v>
      </c>
      <c r="AJ46" s="522">
        <v>4.32</v>
      </c>
    </row>
    <row r="47" spans="1:36" s="482" customFormat="1" ht="10.5" customHeight="1">
      <c r="A47" s="1233" t="s">
        <v>1218</v>
      </c>
      <c r="B47" s="1231">
        <v>-4.7</v>
      </c>
      <c r="C47" s="1231">
        <v>0</v>
      </c>
      <c r="D47" s="1231">
        <v>-0.01</v>
      </c>
      <c r="E47" s="1231">
        <v>-3.42</v>
      </c>
      <c r="F47" s="1231">
        <v>-0.1</v>
      </c>
      <c r="G47" s="1231">
        <v>-1.1599999999999999</v>
      </c>
      <c r="H47" s="1231">
        <v>-1.17</v>
      </c>
      <c r="I47" s="1231">
        <v>-0.04</v>
      </c>
      <c r="J47" s="1231">
        <v>-0.38</v>
      </c>
      <c r="K47" s="1231">
        <v>-2.17</v>
      </c>
      <c r="L47" s="1231">
        <v>-1.59</v>
      </c>
      <c r="M47" s="1231">
        <v>-4.07</v>
      </c>
      <c r="N47" s="1231">
        <v>-0.53</v>
      </c>
      <c r="O47" s="1231">
        <v>-2.67</v>
      </c>
      <c r="P47" s="1231">
        <v>-0.92</v>
      </c>
      <c r="Q47" s="1231">
        <v>-0.16</v>
      </c>
      <c r="R47" s="1231">
        <v>-7.65</v>
      </c>
      <c r="S47" s="1233" t="s">
        <v>1218</v>
      </c>
      <c r="T47" s="1231">
        <v>-3.1</v>
      </c>
      <c r="U47" s="1231">
        <v>0.01</v>
      </c>
      <c r="V47" s="1231">
        <v>-0.35</v>
      </c>
      <c r="W47" s="1231">
        <v>0.17</v>
      </c>
      <c r="X47" s="1231">
        <v>0.02</v>
      </c>
      <c r="Y47" s="1231">
        <v>-2.36</v>
      </c>
      <c r="Z47" s="1231">
        <v>-0.01</v>
      </c>
      <c r="AA47" s="1231">
        <v>-3.86</v>
      </c>
      <c r="AB47" s="1231">
        <v>-1.95</v>
      </c>
      <c r="AC47" s="1231">
        <v>-2.04</v>
      </c>
      <c r="AD47" s="1231">
        <v>-0.67</v>
      </c>
      <c r="AE47" s="1231">
        <v>-0.02</v>
      </c>
      <c r="AF47" s="1231">
        <v>1.59</v>
      </c>
      <c r="AG47" s="1231">
        <v>-0.47</v>
      </c>
      <c r="AH47" s="1231">
        <v>-2.4300000000000002</v>
      </c>
      <c r="AI47" s="1231">
        <v>-0.01</v>
      </c>
      <c r="AJ47" s="1231">
        <v>-0.95</v>
      </c>
    </row>
    <row r="48" spans="1:36" s="482" customFormat="1" ht="10.5" customHeight="1">
      <c r="A48" s="1183" t="s">
        <v>1209</v>
      </c>
      <c r="B48" s="733">
        <v>0.57999999999999996</v>
      </c>
      <c r="C48" s="733">
        <v>-0.01</v>
      </c>
      <c r="D48" s="733">
        <v>0</v>
      </c>
      <c r="E48" s="733">
        <v>0.42</v>
      </c>
      <c r="F48" s="733">
        <v>0.1</v>
      </c>
      <c r="G48" s="733">
        <v>2.2799999999999998</v>
      </c>
      <c r="H48" s="732">
        <v>2.29</v>
      </c>
      <c r="I48" s="732">
        <v>0.02</v>
      </c>
      <c r="J48" s="732">
        <v>0.05</v>
      </c>
      <c r="K48" s="733">
        <v>-0.8</v>
      </c>
      <c r="L48" s="732">
        <v>-1.67</v>
      </c>
      <c r="M48" s="732">
        <v>1.28</v>
      </c>
      <c r="N48" s="732">
        <v>0.23</v>
      </c>
      <c r="O48" s="732">
        <v>-3.17</v>
      </c>
      <c r="P48" s="732">
        <v>-2.64</v>
      </c>
      <c r="Q48" s="732">
        <v>-0.02</v>
      </c>
      <c r="R48" s="732">
        <v>-3.44</v>
      </c>
      <c r="S48" s="1183" t="s">
        <v>1209</v>
      </c>
      <c r="T48" s="733">
        <v>-1.1599999999999999</v>
      </c>
      <c r="U48" s="733">
        <v>0</v>
      </c>
      <c r="V48" s="733">
        <v>0.17</v>
      </c>
      <c r="W48" s="733">
        <v>-1.32</v>
      </c>
      <c r="X48" s="733">
        <v>-0.05</v>
      </c>
      <c r="Y48" s="733">
        <v>-6.86</v>
      </c>
      <c r="Z48" s="733">
        <v>-0.01</v>
      </c>
      <c r="AA48" s="733">
        <v>-0.56999999999999995</v>
      </c>
      <c r="AB48" s="733">
        <v>0.12</v>
      </c>
      <c r="AC48" s="733">
        <v>3.37</v>
      </c>
      <c r="AD48" s="733">
        <v>0.19</v>
      </c>
      <c r="AE48" s="733">
        <v>1.51</v>
      </c>
      <c r="AF48" s="733">
        <v>-0.41</v>
      </c>
      <c r="AG48" s="733">
        <v>0.93</v>
      </c>
      <c r="AH48" s="733">
        <v>-0.24</v>
      </c>
      <c r="AI48" s="733">
        <v>0.01</v>
      </c>
      <c r="AJ48" s="733">
        <v>2.92</v>
      </c>
    </row>
    <row r="49" spans="1:36" s="482" customFormat="1" ht="10.5" customHeight="1">
      <c r="A49" s="1263" t="s">
        <v>2608</v>
      </c>
      <c r="B49" s="1457">
        <v>-3.89</v>
      </c>
      <c r="C49" s="1457">
        <v>-0.76</v>
      </c>
      <c r="D49" s="1457">
        <v>-0.08</v>
      </c>
      <c r="E49" s="1457">
        <v>-4.84</v>
      </c>
      <c r="F49" s="1457">
        <v>-7.82</v>
      </c>
      <c r="G49" s="1457">
        <v>-1.31</v>
      </c>
      <c r="H49" s="1457">
        <v>-1.52</v>
      </c>
      <c r="I49" s="1457">
        <v>-0.08</v>
      </c>
      <c r="J49" s="1457">
        <v>-5.91</v>
      </c>
      <c r="K49" s="1457">
        <v>1.28</v>
      </c>
      <c r="L49" s="1457">
        <v>-2.61</v>
      </c>
      <c r="M49" s="1457">
        <v>19.25</v>
      </c>
      <c r="N49" s="1457">
        <v>0.05</v>
      </c>
      <c r="O49" s="1457">
        <v>-6.68</v>
      </c>
      <c r="P49" s="1457">
        <v>-5.53</v>
      </c>
      <c r="Q49" s="1457">
        <v>-6.41</v>
      </c>
      <c r="R49" s="1457">
        <v>2.8</v>
      </c>
      <c r="S49" s="1263" t="s">
        <v>2608</v>
      </c>
      <c r="T49" s="1457">
        <v>-7.3</v>
      </c>
      <c r="U49" s="1457">
        <v>-0.01</v>
      </c>
      <c r="V49" s="1457">
        <v>-2.68</v>
      </c>
      <c r="W49" s="1457">
        <v>-3.89</v>
      </c>
      <c r="X49" s="1457">
        <v>0</v>
      </c>
      <c r="Y49" s="1457">
        <v>-13.36</v>
      </c>
      <c r="Z49" s="1457">
        <v>0.01</v>
      </c>
      <c r="AA49" s="1457">
        <v>-3.69</v>
      </c>
      <c r="AB49" s="1457">
        <v>-0.55000000000000004</v>
      </c>
      <c r="AC49" s="1457">
        <v>-3.04</v>
      </c>
      <c r="AD49" s="1457">
        <v>-9.5299999999999994</v>
      </c>
      <c r="AE49" s="1457">
        <v>-5.73</v>
      </c>
      <c r="AF49" s="1457">
        <v>0.35</v>
      </c>
      <c r="AG49" s="1457">
        <v>-0.56999999999999995</v>
      </c>
      <c r="AH49" s="1457">
        <v>-4.17</v>
      </c>
      <c r="AI49" s="1457">
        <v>0</v>
      </c>
      <c r="AJ49" s="1457">
        <v>-15.21</v>
      </c>
    </row>
    <row r="50" spans="1:36" s="482" customFormat="1" ht="10.5" customHeight="1">
      <c r="A50" s="1183" t="s">
        <v>1211</v>
      </c>
      <c r="B50" s="733">
        <v>-5.14</v>
      </c>
      <c r="C50" s="733">
        <v>0.01</v>
      </c>
      <c r="D50" s="733">
        <v>0</v>
      </c>
      <c r="E50" s="733">
        <v>-4.71</v>
      </c>
      <c r="F50" s="733">
        <v>-0.06</v>
      </c>
      <c r="G50" s="733">
        <v>-2.73</v>
      </c>
      <c r="H50" s="733">
        <v>-2.72</v>
      </c>
      <c r="I50" s="733">
        <v>-0.02</v>
      </c>
      <c r="J50" s="733">
        <v>-0.69</v>
      </c>
      <c r="K50" s="733">
        <v>-1.1599999999999999</v>
      </c>
      <c r="L50" s="733">
        <v>-0.95</v>
      </c>
      <c r="M50" s="733">
        <v>-1.3</v>
      </c>
      <c r="N50" s="733">
        <v>-0.23</v>
      </c>
      <c r="O50" s="733">
        <v>-0.84</v>
      </c>
      <c r="P50" s="733">
        <v>-9.25</v>
      </c>
      <c r="Q50" s="733">
        <v>-0.85</v>
      </c>
      <c r="R50" s="733">
        <v>-3.62</v>
      </c>
      <c r="S50" s="1183" t="s">
        <v>1211</v>
      </c>
      <c r="T50" s="733">
        <v>-3.87</v>
      </c>
      <c r="U50" s="733">
        <v>-0.01</v>
      </c>
      <c r="V50" s="733">
        <v>0</v>
      </c>
      <c r="W50" s="733">
        <v>-1.1599999999999999</v>
      </c>
      <c r="X50" s="733">
        <v>0</v>
      </c>
      <c r="Y50" s="733">
        <v>-5.34</v>
      </c>
      <c r="Z50" s="733">
        <v>0.01</v>
      </c>
      <c r="AA50" s="733">
        <v>-4.2</v>
      </c>
      <c r="AB50" s="733">
        <v>-2.12</v>
      </c>
      <c r="AC50" s="733">
        <v>-4.32</v>
      </c>
      <c r="AD50" s="733">
        <v>0</v>
      </c>
      <c r="AE50" s="733">
        <v>-4.5</v>
      </c>
      <c r="AF50" s="733">
        <v>0.88</v>
      </c>
      <c r="AG50" s="733">
        <v>-0.64</v>
      </c>
      <c r="AH50" s="733">
        <v>-3.84</v>
      </c>
      <c r="AI50" s="733">
        <v>-0.01</v>
      </c>
      <c r="AJ50" s="733">
        <v>-0.87</v>
      </c>
    </row>
    <row r="51" spans="1:36" s="482" customFormat="1" ht="10.5" customHeight="1">
      <c r="A51" s="1164" t="s">
        <v>1212</v>
      </c>
      <c r="B51" s="701">
        <v>-1.67</v>
      </c>
      <c r="C51" s="701">
        <v>0</v>
      </c>
      <c r="D51" s="701">
        <v>-0.09</v>
      </c>
      <c r="E51" s="701">
        <v>-1.56</v>
      </c>
      <c r="F51" s="701">
        <v>-4.26</v>
      </c>
      <c r="G51" s="701">
        <v>2.35</v>
      </c>
      <c r="H51" s="701">
        <v>2.35</v>
      </c>
      <c r="I51" s="701">
        <v>0.05</v>
      </c>
      <c r="J51" s="701">
        <v>-3.02</v>
      </c>
      <c r="K51" s="701">
        <v>-3.9</v>
      </c>
      <c r="L51" s="701">
        <v>-1.1000000000000001</v>
      </c>
      <c r="M51" s="701">
        <v>2.27</v>
      </c>
      <c r="N51" s="701">
        <v>0.33</v>
      </c>
      <c r="O51" s="701">
        <v>-9</v>
      </c>
      <c r="P51" s="701">
        <v>-3.33</v>
      </c>
      <c r="Q51" s="701">
        <v>-2.68</v>
      </c>
      <c r="R51" s="701">
        <v>-2.13</v>
      </c>
      <c r="S51" s="1164" t="s">
        <v>1212</v>
      </c>
      <c r="T51" s="701">
        <v>-1.31</v>
      </c>
      <c r="U51" s="701">
        <v>-0.03</v>
      </c>
      <c r="V51" s="701">
        <v>-1.98</v>
      </c>
      <c r="W51" s="701">
        <v>-2.4500000000000002</v>
      </c>
      <c r="X51" s="701">
        <v>-0.02</v>
      </c>
      <c r="Y51" s="701">
        <v>-9.7200000000000006</v>
      </c>
      <c r="Z51" s="701">
        <v>-0.02</v>
      </c>
      <c r="AA51" s="701">
        <v>-1.24</v>
      </c>
      <c r="AB51" s="701">
        <v>-2.36</v>
      </c>
      <c r="AC51" s="701">
        <v>2.2000000000000002</v>
      </c>
      <c r="AD51" s="701">
        <v>-0.48</v>
      </c>
      <c r="AE51" s="701">
        <v>0.74</v>
      </c>
      <c r="AF51" s="701">
        <v>-2</v>
      </c>
      <c r="AG51" s="701">
        <v>0.99</v>
      </c>
      <c r="AH51" s="701">
        <v>-2.09</v>
      </c>
      <c r="AI51" s="701">
        <v>0</v>
      </c>
      <c r="AJ51" s="701">
        <v>-1.28</v>
      </c>
    </row>
    <row r="52" spans="1:36" s="482" customFormat="1" ht="9.75" customHeight="1">
      <c r="A52" s="1183" t="s">
        <v>1206</v>
      </c>
      <c r="B52" s="733">
        <v>-2.5</v>
      </c>
      <c r="C52" s="733">
        <v>0</v>
      </c>
      <c r="D52" s="733">
        <v>-0.04</v>
      </c>
      <c r="E52" s="733">
        <v>-1.54</v>
      </c>
      <c r="F52" s="733">
        <v>0.44</v>
      </c>
      <c r="G52" s="733">
        <v>0.56999999999999995</v>
      </c>
      <c r="H52" s="733">
        <v>0.55000000000000004</v>
      </c>
      <c r="I52" s="733">
        <v>0</v>
      </c>
      <c r="J52" s="733">
        <v>0.47</v>
      </c>
      <c r="K52" s="733">
        <v>-4.2</v>
      </c>
      <c r="L52" s="733">
        <v>-0.08</v>
      </c>
      <c r="M52" s="733">
        <v>1.34</v>
      </c>
      <c r="N52" s="733">
        <v>-0.05</v>
      </c>
      <c r="O52" s="733">
        <v>-5.74</v>
      </c>
      <c r="P52" s="733">
        <v>-0.86</v>
      </c>
      <c r="Q52" s="733">
        <v>-0.37</v>
      </c>
      <c r="R52" s="733">
        <v>-1.78</v>
      </c>
      <c r="S52" s="1183" t="s">
        <v>1206</v>
      </c>
      <c r="T52" s="733">
        <v>-2.2400000000000002</v>
      </c>
      <c r="U52" s="733">
        <v>0.03</v>
      </c>
      <c r="V52" s="733">
        <v>-0.47</v>
      </c>
      <c r="W52" s="733">
        <v>-0.12</v>
      </c>
      <c r="X52" s="733">
        <v>0</v>
      </c>
      <c r="Y52" s="733">
        <v>-0.98</v>
      </c>
      <c r="Z52" s="733">
        <v>0.01</v>
      </c>
      <c r="AA52" s="733">
        <v>-0.6</v>
      </c>
      <c r="AB52" s="733">
        <v>-1.36</v>
      </c>
      <c r="AC52" s="733">
        <v>0.53</v>
      </c>
      <c r="AD52" s="733">
        <v>-4.7300000000000004</v>
      </c>
      <c r="AE52" s="733">
        <v>-1.02</v>
      </c>
      <c r="AF52" s="733">
        <v>-0.28999999999999998</v>
      </c>
      <c r="AG52" s="733">
        <v>-0.24</v>
      </c>
      <c r="AH52" s="733">
        <v>-1.35</v>
      </c>
      <c r="AI52" s="733">
        <v>0</v>
      </c>
      <c r="AJ52" s="733">
        <v>-1.59</v>
      </c>
    </row>
    <row r="53" spans="1:36" s="482" customFormat="1" ht="12" customHeight="1">
      <c r="A53" s="1164" t="s">
        <v>1213</v>
      </c>
      <c r="B53" s="701">
        <v>2.0499999999999998</v>
      </c>
      <c r="C53" s="701">
        <v>-0.2</v>
      </c>
      <c r="D53" s="701">
        <v>0.13</v>
      </c>
      <c r="E53" s="701">
        <v>2.6</v>
      </c>
      <c r="F53" s="701">
        <v>0.19</v>
      </c>
      <c r="G53" s="701">
        <v>-2.21</v>
      </c>
      <c r="H53" s="701">
        <v>-2.2400000000000002</v>
      </c>
      <c r="I53" s="701">
        <v>0</v>
      </c>
      <c r="J53" s="701">
        <v>0.69</v>
      </c>
      <c r="K53" s="701">
        <v>7.03</v>
      </c>
      <c r="L53" s="701">
        <v>0.01</v>
      </c>
      <c r="M53" s="701">
        <v>-0.73</v>
      </c>
      <c r="N53" s="701">
        <v>-0.38</v>
      </c>
      <c r="O53" s="701">
        <v>3.6</v>
      </c>
      <c r="P53" s="701">
        <v>0.82</v>
      </c>
      <c r="Q53" s="701">
        <v>1.89</v>
      </c>
      <c r="R53" s="701">
        <v>6.57</v>
      </c>
      <c r="S53" s="1164" t="s">
        <v>1213</v>
      </c>
      <c r="T53" s="701">
        <v>-0.21</v>
      </c>
      <c r="U53" s="701">
        <v>0</v>
      </c>
      <c r="V53" s="701">
        <v>-0.95</v>
      </c>
      <c r="W53" s="701">
        <v>0.28999999999999998</v>
      </c>
      <c r="X53" s="701">
        <v>0.05</v>
      </c>
      <c r="Y53" s="701">
        <v>2.97</v>
      </c>
      <c r="Z53" s="701">
        <v>0</v>
      </c>
      <c r="AA53" s="701">
        <v>4.3</v>
      </c>
      <c r="AB53" s="701">
        <v>1.95</v>
      </c>
      <c r="AC53" s="701">
        <v>-1.79</v>
      </c>
      <c r="AD53" s="701">
        <v>-0.02</v>
      </c>
      <c r="AE53" s="701">
        <v>-1.56</v>
      </c>
      <c r="AF53" s="701">
        <v>0</v>
      </c>
      <c r="AG53" s="701">
        <v>-0.56000000000000005</v>
      </c>
      <c r="AH53" s="701">
        <v>2.16</v>
      </c>
      <c r="AI53" s="701">
        <v>0.01</v>
      </c>
      <c r="AJ53" s="701">
        <v>1.76</v>
      </c>
    </row>
    <row r="54" spans="1:36" s="482" customFormat="1" ht="12" customHeight="1">
      <c r="A54" s="1183" t="s">
        <v>1214</v>
      </c>
      <c r="B54" s="733">
        <v>0.87</v>
      </c>
      <c r="C54" s="733">
        <v>-1.24</v>
      </c>
      <c r="D54" s="733">
        <v>0.05</v>
      </c>
      <c r="E54" s="733">
        <v>-2.16</v>
      </c>
      <c r="F54" s="733">
        <v>-0.73</v>
      </c>
      <c r="G54" s="733">
        <v>-3.7</v>
      </c>
      <c r="H54" s="733">
        <v>-3.64</v>
      </c>
      <c r="I54" s="733">
        <v>0</v>
      </c>
      <c r="J54" s="733">
        <v>-2.27</v>
      </c>
      <c r="K54" s="733">
        <v>-1.05</v>
      </c>
      <c r="L54" s="733">
        <v>0.22</v>
      </c>
      <c r="M54" s="733">
        <v>-1.77</v>
      </c>
      <c r="N54" s="733">
        <v>-0.49</v>
      </c>
      <c r="O54" s="733">
        <v>0.79</v>
      </c>
      <c r="P54" s="733">
        <v>-1.88</v>
      </c>
      <c r="Q54" s="733">
        <v>-2.2599999999999998</v>
      </c>
      <c r="R54" s="733">
        <v>-3.46</v>
      </c>
      <c r="S54" s="1183" t="s">
        <v>1214</v>
      </c>
      <c r="T54" s="733">
        <v>-2.4</v>
      </c>
      <c r="U54" s="733">
        <v>0</v>
      </c>
      <c r="V54" s="733">
        <v>-0.12</v>
      </c>
      <c r="W54" s="733">
        <v>-0.99</v>
      </c>
      <c r="X54" s="733">
        <v>-0.02</v>
      </c>
      <c r="Y54" s="733">
        <v>-3.8</v>
      </c>
      <c r="Z54" s="733">
        <v>-0.06</v>
      </c>
      <c r="AA54" s="733">
        <v>-1.23</v>
      </c>
      <c r="AB54" s="733">
        <v>-0.91</v>
      </c>
      <c r="AC54" s="733">
        <v>-2.34</v>
      </c>
      <c r="AD54" s="733">
        <v>-1.48</v>
      </c>
      <c r="AE54" s="733">
        <v>-4.08</v>
      </c>
      <c r="AF54" s="733">
        <v>0</v>
      </c>
      <c r="AG54" s="733">
        <v>-1.66</v>
      </c>
      <c r="AH54" s="733">
        <v>-0.75</v>
      </c>
      <c r="AI54" s="733">
        <v>-0.01</v>
      </c>
      <c r="AJ54" s="733">
        <v>-2.4500000000000002</v>
      </c>
    </row>
    <row r="55" spans="1:36" s="482" customFormat="1" ht="10.5" customHeight="1">
      <c r="A55" s="1164" t="s">
        <v>1207</v>
      </c>
      <c r="B55" s="1231">
        <v>1.28</v>
      </c>
      <c r="C55" s="1231">
        <v>0.53</v>
      </c>
      <c r="D55" s="1231">
        <v>0.13</v>
      </c>
      <c r="E55" s="1231">
        <v>-3.77</v>
      </c>
      <c r="F55" s="1231">
        <v>-1.5</v>
      </c>
      <c r="G55" s="1231">
        <v>3.17</v>
      </c>
      <c r="H55" s="1231">
        <v>3.16</v>
      </c>
      <c r="I55" s="1231">
        <v>0</v>
      </c>
      <c r="J55" s="1231">
        <v>0.63</v>
      </c>
      <c r="K55" s="1231">
        <v>0.25</v>
      </c>
      <c r="L55" s="1231">
        <v>0.18</v>
      </c>
      <c r="M55" s="1231">
        <v>1.95</v>
      </c>
      <c r="N55" s="1231">
        <v>0.38</v>
      </c>
      <c r="O55" s="1231">
        <v>-0.76</v>
      </c>
      <c r="P55" s="1231">
        <v>-0.76</v>
      </c>
      <c r="Q55" s="1231">
        <v>0.46</v>
      </c>
      <c r="R55" s="1231">
        <v>4.7699999999999996</v>
      </c>
      <c r="S55" s="1164" t="s">
        <v>1207</v>
      </c>
      <c r="T55" s="1231">
        <v>-1.04</v>
      </c>
      <c r="U55" s="1231">
        <v>0</v>
      </c>
      <c r="V55" s="1231">
        <v>0.6</v>
      </c>
      <c r="W55" s="1231">
        <v>0.56999999999999995</v>
      </c>
      <c r="X55" s="1231">
        <v>-0.03</v>
      </c>
      <c r="Y55" s="1231">
        <v>-9.4600000000000009</v>
      </c>
      <c r="Z55" s="1231">
        <v>0.01</v>
      </c>
      <c r="AA55" s="1231">
        <v>-1.88</v>
      </c>
      <c r="AB55" s="1231">
        <v>-0.06</v>
      </c>
      <c r="AC55" s="1231">
        <v>3.9</v>
      </c>
      <c r="AD55" s="1231">
        <v>-0.59</v>
      </c>
      <c r="AE55" s="1231">
        <v>4.32</v>
      </c>
      <c r="AF55" s="1231">
        <v>0.39</v>
      </c>
      <c r="AG55" s="1231">
        <v>0.96</v>
      </c>
      <c r="AH55" s="1231">
        <v>-0.61</v>
      </c>
      <c r="AI55" s="1231">
        <v>0.02</v>
      </c>
      <c r="AJ55" s="1231">
        <v>-1.5</v>
      </c>
    </row>
    <row r="56" spans="1:36" s="482" customFormat="1" ht="12" customHeight="1">
      <c r="A56" s="1183" t="s">
        <v>1215</v>
      </c>
      <c r="B56" s="733">
        <v>-2.87</v>
      </c>
      <c r="C56" s="733">
        <v>0.01</v>
      </c>
      <c r="D56" s="733">
        <v>-0.08</v>
      </c>
      <c r="E56" s="733">
        <v>-0.74</v>
      </c>
      <c r="F56" s="733">
        <v>-0.89</v>
      </c>
      <c r="G56" s="733">
        <v>-0.88</v>
      </c>
      <c r="H56" s="733">
        <v>-0.88</v>
      </c>
      <c r="I56" s="733">
        <v>-0.38</v>
      </c>
      <c r="J56" s="733">
        <v>-2.0499999999999998</v>
      </c>
      <c r="K56" s="733">
        <v>0.17</v>
      </c>
      <c r="L56" s="733">
        <v>0.2</v>
      </c>
      <c r="M56" s="733">
        <v>-0.48</v>
      </c>
      <c r="N56" s="733">
        <v>-7.0000000000000007E-2</v>
      </c>
      <c r="O56" s="733">
        <v>3.37</v>
      </c>
      <c r="P56" s="733">
        <v>0.89</v>
      </c>
      <c r="Q56" s="733">
        <v>-2.41</v>
      </c>
      <c r="R56" s="733">
        <v>-5.41</v>
      </c>
      <c r="S56" s="1183" t="s">
        <v>1215</v>
      </c>
      <c r="T56" s="733">
        <v>1.28</v>
      </c>
      <c r="U56" s="733">
        <v>0.04</v>
      </c>
      <c r="V56" s="733">
        <v>0.05</v>
      </c>
      <c r="W56" s="733">
        <v>-1.64</v>
      </c>
      <c r="X56" s="733">
        <v>0.04</v>
      </c>
      <c r="Y56" s="733">
        <v>-5.93</v>
      </c>
      <c r="Z56" s="733">
        <v>0.06</v>
      </c>
      <c r="AA56" s="733">
        <v>-2.5299999999999998</v>
      </c>
      <c r="AB56" s="733">
        <v>-0.68</v>
      </c>
      <c r="AC56" s="733">
        <v>-1.95</v>
      </c>
      <c r="AD56" s="733">
        <v>-0.13</v>
      </c>
      <c r="AE56" s="733">
        <v>-3.54</v>
      </c>
      <c r="AF56" s="733">
        <v>-0.02</v>
      </c>
      <c r="AG56" s="733">
        <v>-0.46</v>
      </c>
      <c r="AH56" s="733">
        <v>1.04</v>
      </c>
      <c r="AI56" s="733">
        <v>-0.01</v>
      </c>
      <c r="AJ56" s="733">
        <v>-3.83</v>
      </c>
    </row>
    <row r="57" spans="1:36" s="482" customFormat="1" ht="11.25" customHeight="1">
      <c r="A57" s="1164" t="s">
        <v>1216</v>
      </c>
      <c r="B57" s="1231">
        <v>0.73</v>
      </c>
      <c r="C57" s="1231">
        <v>0.06</v>
      </c>
      <c r="D57" s="1231">
        <v>-0.08</v>
      </c>
      <c r="E57" s="1231">
        <v>3.51</v>
      </c>
      <c r="F57" s="1231">
        <v>0.1</v>
      </c>
      <c r="G57" s="1231">
        <v>1</v>
      </c>
      <c r="H57" s="1231">
        <v>0.96</v>
      </c>
      <c r="I57" s="1231">
        <v>7.0000000000000007E-2</v>
      </c>
      <c r="J57" s="1231">
        <v>-1.25</v>
      </c>
      <c r="K57" s="1231">
        <v>2.87</v>
      </c>
      <c r="L57" s="1231">
        <v>-1.37</v>
      </c>
      <c r="M57" s="1231">
        <v>6.24</v>
      </c>
      <c r="N57" s="1231">
        <v>1.05</v>
      </c>
      <c r="O57" s="1231">
        <v>-1.52</v>
      </c>
      <c r="P57" s="1231">
        <v>4.97</v>
      </c>
      <c r="Q57" s="1231">
        <v>-1.42</v>
      </c>
      <c r="R57" s="1231">
        <v>2.36</v>
      </c>
      <c r="S57" s="1164" t="s">
        <v>1216</v>
      </c>
      <c r="T57" s="1231">
        <v>0.05</v>
      </c>
      <c r="U57" s="1231">
        <v>-0.04</v>
      </c>
      <c r="V57" s="1231">
        <v>0.1</v>
      </c>
      <c r="W57" s="1231">
        <v>0.24</v>
      </c>
      <c r="X57" s="1231">
        <v>-0.03</v>
      </c>
      <c r="Y57" s="1231">
        <v>2.6</v>
      </c>
      <c r="Z57" s="1231">
        <v>0</v>
      </c>
      <c r="AA57" s="1231">
        <v>-2.52</v>
      </c>
      <c r="AB57" s="1231">
        <v>1.1599999999999999</v>
      </c>
      <c r="AC57" s="1231">
        <v>0.23</v>
      </c>
      <c r="AD57" s="1231">
        <v>-0.27</v>
      </c>
      <c r="AE57" s="1231">
        <v>2.74</v>
      </c>
      <c r="AF57" s="1231">
        <v>0.02</v>
      </c>
      <c r="AG57" s="1231">
        <v>0.57999999999999996</v>
      </c>
      <c r="AH57" s="1231">
        <v>-0.03</v>
      </c>
      <c r="AI57" s="1231">
        <v>-0.01</v>
      </c>
      <c r="AJ57" s="1231">
        <v>-2.62</v>
      </c>
    </row>
    <row r="58" spans="1:36" s="482" customFormat="1" ht="12" customHeight="1">
      <c r="A58" s="1183" t="s">
        <v>1208</v>
      </c>
      <c r="B58" s="733">
        <v>7.58</v>
      </c>
      <c r="C58" s="733">
        <v>0.06</v>
      </c>
      <c r="D58" s="733">
        <v>-0.03</v>
      </c>
      <c r="E58" s="733">
        <v>4.3099999999999996</v>
      </c>
      <c r="F58" s="733">
        <v>1.3</v>
      </c>
      <c r="G58" s="733">
        <v>3.72</v>
      </c>
      <c r="H58" s="733">
        <v>3.62</v>
      </c>
      <c r="I58" s="733">
        <v>0.28000000000000003</v>
      </c>
      <c r="J58" s="733">
        <v>3.56</v>
      </c>
      <c r="K58" s="733">
        <v>0.79</v>
      </c>
      <c r="L58" s="733">
        <v>7.0000000000000007E-2</v>
      </c>
      <c r="M58" s="733">
        <v>1.37</v>
      </c>
      <c r="N58" s="733">
        <v>-0.45</v>
      </c>
      <c r="O58" s="733">
        <v>7.71</v>
      </c>
      <c r="P58" s="733">
        <v>1.73</v>
      </c>
      <c r="Q58" s="733">
        <v>3.22</v>
      </c>
      <c r="R58" s="733">
        <v>4.53</v>
      </c>
      <c r="S58" s="1183" t="s">
        <v>1208</v>
      </c>
      <c r="T58" s="733">
        <v>4.5</v>
      </c>
      <c r="U58" s="733">
        <v>0</v>
      </c>
      <c r="V58" s="733">
        <v>0.05</v>
      </c>
      <c r="W58" s="733">
        <v>3.45</v>
      </c>
      <c r="X58" s="733">
        <v>0.03</v>
      </c>
      <c r="Y58" s="733">
        <v>11.29</v>
      </c>
      <c r="Z58" s="733">
        <v>-0.01</v>
      </c>
      <c r="AA58" s="733">
        <v>8.3000000000000007</v>
      </c>
      <c r="AB58" s="733">
        <v>4.2699999999999996</v>
      </c>
      <c r="AC58" s="733">
        <v>5.0199999999999996</v>
      </c>
      <c r="AD58" s="733">
        <v>-3.06</v>
      </c>
      <c r="AE58" s="733">
        <v>3.23</v>
      </c>
      <c r="AF58" s="733">
        <v>0.3</v>
      </c>
      <c r="AG58" s="733">
        <v>1.31</v>
      </c>
      <c r="AH58" s="733">
        <v>1.39</v>
      </c>
      <c r="AI58" s="733">
        <v>0.01</v>
      </c>
      <c r="AJ58" s="733">
        <v>3.64</v>
      </c>
    </row>
    <row r="59" spans="1:36" s="482" customFormat="1" ht="12" customHeight="1">
      <c r="A59" s="1164" t="s">
        <v>1217</v>
      </c>
      <c r="B59" s="701">
        <v>-0.85</v>
      </c>
      <c r="C59" s="701">
        <v>0</v>
      </c>
      <c r="D59" s="701">
        <v>0.01</v>
      </c>
      <c r="E59" s="701">
        <v>3.33</v>
      </c>
      <c r="F59" s="701">
        <v>0.04</v>
      </c>
      <c r="G59" s="701">
        <v>1.1599999999999999</v>
      </c>
      <c r="H59" s="701">
        <v>1.03</v>
      </c>
      <c r="I59" s="701">
        <v>-0.05</v>
      </c>
      <c r="J59" s="701">
        <v>-0.08</v>
      </c>
      <c r="K59" s="701">
        <v>0.76</v>
      </c>
      <c r="L59" s="701">
        <v>-0.01</v>
      </c>
      <c r="M59" s="701">
        <v>5.67</v>
      </c>
      <c r="N59" s="701">
        <v>0.35</v>
      </c>
      <c r="O59" s="701">
        <v>0.27</v>
      </c>
      <c r="P59" s="701">
        <v>4.0199999999999996</v>
      </c>
      <c r="Q59" s="701">
        <v>-0.18</v>
      </c>
      <c r="R59" s="701">
        <v>0.76</v>
      </c>
      <c r="S59" s="1164" t="s">
        <v>1217</v>
      </c>
      <c r="T59" s="701">
        <v>3.09</v>
      </c>
      <c r="U59" s="701">
        <v>-0.01</v>
      </c>
      <c r="V59" s="701">
        <v>-0.1</v>
      </c>
      <c r="W59" s="701">
        <v>-1.94</v>
      </c>
      <c r="X59" s="701">
        <v>0.02</v>
      </c>
      <c r="Y59" s="701">
        <v>4.9400000000000004</v>
      </c>
      <c r="Z59" s="701">
        <v>0.01</v>
      </c>
      <c r="AA59" s="701">
        <v>-0.04</v>
      </c>
      <c r="AB59" s="701">
        <v>0.43</v>
      </c>
      <c r="AC59" s="701">
        <v>1.5</v>
      </c>
      <c r="AD59" s="701">
        <v>2.08</v>
      </c>
      <c r="AE59" s="701">
        <v>0.56000000000000005</v>
      </c>
      <c r="AF59" s="701">
        <v>0.11</v>
      </c>
      <c r="AG59" s="701">
        <v>0.75</v>
      </c>
      <c r="AH59" s="701">
        <v>0.97</v>
      </c>
      <c r="AI59" s="701">
        <v>0</v>
      </c>
      <c r="AJ59" s="701">
        <v>1.58</v>
      </c>
    </row>
    <row r="60" spans="1:36" s="482" customFormat="1" ht="12" customHeight="1">
      <c r="A60" s="1183" t="s">
        <v>1218</v>
      </c>
      <c r="B60" s="733">
        <v>-5.57</v>
      </c>
      <c r="C60" s="733">
        <v>0</v>
      </c>
      <c r="D60" s="733">
        <v>-0.01</v>
      </c>
      <c r="E60" s="733">
        <v>-3.88</v>
      </c>
      <c r="F60" s="733">
        <v>-1.83</v>
      </c>
      <c r="G60" s="733">
        <v>-2.66</v>
      </c>
      <c r="H60" s="733">
        <v>-2.67</v>
      </c>
      <c r="I60" s="733">
        <v>-0.16</v>
      </c>
      <c r="J60" s="733">
        <v>-1.1000000000000001</v>
      </c>
      <c r="K60" s="733">
        <v>-3.12</v>
      </c>
      <c r="L60" s="733">
        <v>0.12</v>
      </c>
      <c r="M60" s="733">
        <v>-4.25</v>
      </c>
      <c r="N60" s="733">
        <v>-0.35</v>
      </c>
      <c r="O60" s="733">
        <v>-4.99</v>
      </c>
      <c r="P60" s="733">
        <v>-1.31</v>
      </c>
      <c r="Q60" s="733">
        <v>-0.7</v>
      </c>
      <c r="R60" s="733">
        <v>-4.1100000000000003</v>
      </c>
      <c r="S60" s="1183" t="s">
        <v>1218</v>
      </c>
      <c r="T60" s="733">
        <v>-3.51</v>
      </c>
      <c r="U60" s="733">
        <v>0</v>
      </c>
      <c r="V60" s="733">
        <v>-0.02</v>
      </c>
      <c r="W60" s="733">
        <v>0.48</v>
      </c>
      <c r="X60" s="733">
        <v>-0.02</v>
      </c>
      <c r="Y60" s="733">
        <v>-1.1399999999999999</v>
      </c>
      <c r="Z60" s="733">
        <v>0</v>
      </c>
      <c r="AA60" s="733">
        <v>-3.73</v>
      </c>
      <c r="AB60" s="733">
        <v>-2.69</v>
      </c>
      <c r="AC60" s="733">
        <v>-3.41</v>
      </c>
      <c r="AD60" s="733">
        <v>-1.23</v>
      </c>
      <c r="AE60" s="733">
        <v>-3.29</v>
      </c>
      <c r="AF60" s="733">
        <v>0.39</v>
      </c>
      <c r="AG60" s="733">
        <v>-0.8</v>
      </c>
      <c r="AH60" s="733">
        <v>-2.27</v>
      </c>
      <c r="AI60" s="733">
        <v>0</v>
      </c>
      <c r="AJ60" s="733">
        <v>0.23</v>
      </c>
    </row>
    <row r="61" spans="1:36" s="482" customFormat="1" ht="12" customHeight="1">
      <c r="A61" s="1164" t="s">
        <v>1209</v>
      </c>
      <c r="B61" s="701">
        <v>2.86</v>
      </c>
      <c r="C61" s="701">
        <v>0</v>
      </c>
      <c r="D61" s="701">
        <v>-0.08</v>
      </c>
      <c r="E61" s="701">
        <v>0.19</v>
      </c>
      <c r="F61" s="701">
        <v>-0.81</v>
      </c>
      <c r="G61" s="701">
        <v>-0.75</v>
      </c>
      <c r="H61" s="701">
        <v>-0.72</v>
      </c>
      <c r="I61" s="701">
        <v>0.14000000000000001</v>
      </c>
      <c r="J61" s="701">
        <v>-0.8</v>
      </c>
      <c r="K61" s="701">
        <v>3.4</v>
      </c>
      <c r="L61" s="701">
        <v>0.1</v>
      </c>
      <c r="M61" s="701">
        <v>8.15</v>
      </c>
      <c r="N61" s="701">
        <v>-0.03</v>
      </c>
      <c r="O61" s="701">
        <v>1.36</v>
      </c>
      <c r="P61" s="701">
        <v>0.04</v>
      </c>
      <c r="Q61" s="701">
        <v>-1.1399999999999999</v>
      </c>
      <c r="R61" s="701">
        <v>5.27</v>
      </c>
      <c r="S61" s="1164" t="s">
        <v>1209</v>
      </c>
      <c r="T61" s="701">
        <v>-1.54</v>
      </c>
      <c r="U61" s="701">
        <v>0.01</v>
      </c>
      <c r="V61" s="701">
        <v>0.17</v>
      </c>
      <c r="W61" s="701">
        <v>-0.56000000000000005</v>
      </c>
      <c r="X61" s="701">
        <v>-0.02</v>
      </c>
      <c r="Y61" s="701">
        <v>2.44</v>
      </c>
      <c r="Z61" s="701">
        <v>0</v>
      </c>
      <c r="AA61" s="701">
        <v>2.3199999999999998</v>
      </c>
      <c r="AB61" s="701">
        <v>2.0699999999999998</v>
      </c>
      <c r="AC61" s="701">
        <v>-2.17</v>
      </c>
      <c r="AD61" s="701">
        <v>0.11</v>
      </c>
      <c r="AE61" s="701">
        <v>1.02</v>
      </c>
      <c r="AF61" s="701">
        <v>0.6</v>
      </c>
      <c r="AG61" s="701">
        <v>-0.75</v>
      </c>
      <c r="AH61" s="701">
        <v>1.3</v>
      </c>
      <c r="AI61" s="701">
        <v>0.01</v>
      </c>
      <c r="AJ61" s="701">
        <v>-8.86</v>
      </c>
    </row>
    <row r="62" spans="1:36" s="482" customFormat="1" ht="12" customHeight="1">
      <c r="A62" s="1448" t="s">
        <v>2809</v>
      </c>
      <c r="B62" s="732"/>
      <c r="C62" s="732"/>
      <c r="D62" s="732"/>
      <c r="E62" s="732"/>
      <c r="F62" s="732"/>
      <c r="G62" s="732"/>
      <c r="H62" s="732"/>
      <c r="I62" s="732"/>
      <c r="J62" s="732"/>
      <c r="K62" s="732"/>
      <c r="L62" s="732"/>
      <c r="M62" s="732"/>
      <c r="N62" s="732"/>
      <c r="O62" s="732"/>
      <c r="P62" s="732"/>
      <c r="Q62" s="732"/>
      <c r="R62" s="732"/>
      <c r="S62" s="1448" t="s">
        <v>2809</v>
      </c>
      <c r="T62" s="732"/>
      <c r="U62" s="732"/>
      <c r="V62" s="732"/>
      <c r="W62" s="732"/>
      <c r="X62" s="732"/>
      <c r="Y62" s="732"/>
      <c r="Z62" s="732"/>
      <c r="AA62" s="732"/>
      <c r="AB62" s="732"/>
      <c r="AC62" s="732"/>
      <c r="AD62" s="732"/>
      <c r="AE62" s="732"/>
      <c r="AF62" s="732"/>
      <c r="AG62" s="732"/>
      <c r="AH62" s="732"/>
      <c r="AI62" s="732"/>
      <c r="AJ62" s="732"/>
    </row>
    <row r="63" spans="1:36" s="482" customFormat="1" ht="12" customHeight="1">
      <c r="A63" s="1486" t="s">
        <v>1211</v>
      </c>
      <c r="B63" s="701">
        <v>2.83</v>
      </c>
      <c r="C63" s="701">
        <v>0</v>
      </c>
      <c r="D63" s="701">
        <v>0.04</v>
      </c>
      <c r="E63" s="701">
        <v>-0.05</v>
      </c>
      <c r="F63" s="701">
        <v>-0.28000000000000003</v>
      </c>
      <c r="G63" s="701">
        <v>1.06</v>
      </c>
      <c r="H63" s="701">
        <v>0.97</v>
      </c>
      <c r="I63" s="701">
        <v>0.01</v>
      </c>
      <c r="J63" s="701">
        <v>1.59</v>
      </c>
      <c r="K63" s="701">
        <v>0.49</v>
      </c>
      <c r="L63" s="701">
        <v>0.13</v>
      </c>
      <c r="M63" s="701">
        <v>0.68</v>
      </c>
      <c r="N63" s="701">
        <v>-0.1</v>
      </c>
      <c r="O63" s="701">
        <v>-0.34</v>
      </c>
      <c r="P63" s="701">
        <v>-0.08</v>
      </c>
      <c r="Q63" s="701">
        <v>1.36</v>
      </c>
      <c r="R63" s="701">
        <v>2.27</v>
      </c>
      <c r="S63" s="1486" t="s">
        <v>1211</v>
      </c>
      <c r="T63" s="701">
        <v>0.32</v>
      </c>
      <c r="U63" s="701">
        <v>-0.04</v>
      </c>
      <c r="V63" s="701">
        <v>-0.16</v>
      </c>
      <c r="W63" s="701">
        <v>-0.13</v>
      </c>
      <c r="X63" s="701">
        <v>0</v>
      </c>
      <c r="Y63" s="701">
        <v>-2.52</v>
      </c>
      <c r="Z63" s="701">
        <v>0</v>
      </c>
      <c r="AA63" s="701">
        <v>4.5</v>
      </c>
      <c r="AB63" s="701">
        <v>1.03</v>
      </c>
      <c r="AC63" s="701">
        <v>-0.62</v>
      </c>
      <c r="AD63" s="701">
        <v>1.6</v>
      </c>
      <c r="AE63" s="701">
        <v>1.33</v>
      </c>
      <c r="AF63" s="701">
        <v>0.57999999999999996</v>
      </c>
      <c r="AG63" s="701">
        <v>-0.14000000000000001</v>
      </c>
      <c r="AH63" s="701">
        <v>1.38</v>
      </c>
      <c r="AI63" s="701">
        <v>-0.01</v>
      </c>
      <c r="AJ63" s="701">
        <v>-0.83</v>
      </c>
    </row>
    <row r="64" spans="1:36" s="482" customFormat="1" ht="12" customHeight="1">
      <c r="A64" s="1485" t="s">
        <v>1212</v>
      </c>
      <c r="B64" s="733">
        <v>-1.1499999999999999</v>
      </c>
      <c r="C64" s="733">
        <v>0</v>
      </c>
      <c r="D64" s="733">
        <v>0.04</v>
      </c>
      <c r="E64" s="733">
        <v>-0.53</v>
      </c>
      <c r="F64" s="733">
        <v>-0.59</v>
      </c>
      <c r="G64" s="733">
        <v>-0.36</v>
      </c>
      <c r="H64" s="733">
        <v>-0.27</v>
      </c>
      <c r="I64" s="733">
        <v>0</v>
      </c>
      <c r="J64" s="733">
        <v>-0.73</v>
      </c>
      <c r="K64" s="733">
        <v>-1.39</v>
      </c>
      <c r="L64" s="733">
        <v>-0.1</v>
      </c>
      <c r="M64" s="733">
        <v>-0.87</v>
      </c>
      <c r="N64" s="733">
        <v>0.17</v>
      </c>
      <c r="O64" s="733">
        <v>0.49</v>
      </c>
      <c r="P64" s="733">
        <v>-2.0299999999999998</v>
      </c>
      <c r="Q64" s="733">
        <v>-0.02</v>
      </c>
      <c r="R64" s="733">
        <v>0.16</v>
      </c>
      <c r="S64" s="1485" t="s">
        <v>1212</v>
      </c>
      <c r="T64" s="733">
        <v>1.26</v>
      </c>
      <c r="U64" s="733">
        <v>0.04</v>
      </c>
      <c r="V64" s="733">
        <v>0.02</v>
      </c>
      <c r="W64" s="733">
        <v>1.01</v>
      </c>
      <c r="X64" s="733">
        <v>0.01</v>
      </c>
      <c r="Y64" s="733">
        <v>1.07</v>
      </c>
      <c r="Z64" s="733">
        <v>0</v>
      </c>
      <c r="AA64" s="733">
        <v>-0.5</v>
      </c>
      <c r="AB64" s="733">
        <v>-1.83</v>
      </c>
      <c r="AC64" s="733">
        <v>0.35</v>
      </c>
      <c r="AD64" s="733">
        <v>0</v>
      </c>
      <c r="AE64" s="733">
        <v>-1.48</v>
      </c>
      <c r="AF64" s="733">
        <v>0.44</v>
      </c>
      <c r="AG64" s="733">
        <v>0.18</v>
      </c>
      <c r="AH64" s="733">
        <v>0.43</v>
      </c>
      <c r="AI64" s="733">
        <v>-0.01</v>
      </c>
      <c r="AJ64" s="733">
        <v>-1.1200000000000001</v>
      </c>
    </row>
    <row r="65" spans="1:36" s="482" customFormat="1" ht="12" customHeight="1">
      <c r="A65" s="1486" t="s">
        <v>1206</v>
      </c>
      <c r="B65" s="701">
        <v>1.68</v>
      </c>
      <c r="C65" s="701">
        <v>0</v>
      </c>
      <c r="D65" s="701">
        <v>0.01</v>
      </c>
      <c r="E65" s="701">
        <v>-0.33</v>
      </c>
      <c r="F65" s="701">
        <v>0.19</v>
      </c>
      <c r="G65" s="701">
        <v>0.62</v>
      </c>
      <c r="H65" s="701">
        <v>0.72</v>
      </c>
      <c r="I65" s="701">
        <v>0.02</v>
      </c>
      <c r="J65" s="701">
        <v>0.5</v>
      </c>
      <c r="K65" s="701">
        <v>2.1800000000000002</v>
      </c>
      <c r="L65" s="701">
        <v>0.12</v>
      </c>
      <c r="M65" s="701">
        <v>1.92</v>
      </c>
      <c r="N65" s="701">
        <v>0.18</v>
      </c>
      <c r="O65" s="701">
        <v>-2.2400000000000002</v>
      </c>
      <c r="P65" s="701">
        <v>-4.2</v>
      </c>
      <c r="Q65" s="701">
        <v>0.56000000000000005</v>
      </c>
      <c r="R65" s="701">
        <v>0.47</v>
      </c>
      <c r="S65" s="1486" t="s">
        <v>1206</v>
      </c>
      <c r="T65" s="701">
        <v>3.67</v>
      </c>
      <c r="U65" s="701">
        <v>0</v>
      </c>
      <c r="V65" s="701">
        <v>0.13</v>
      </c>
      <c r="W65" s="701">
        <v>-3.83</v>
      </c>
      <c r="X65" s="701">
        <v>-0.01</v>
      </c>
      <c r="Y65" s="701">
        <v>3.35</v>
      </c>
      <c r="Z65" s="701">
        <v>-0.13</v>
      </c>
      <c r="AA65" s="701">
        <v>1.65</v>
      </c>
      <c r="AB65" s="701">
        <v>0.03</v>
      </c>
      <c r="AC65" s="701">
        <v>-0.6</v>
      </c>
      <c r="AD65" s="701">
        <v>-0.92</v>
      </c>
      <c r="AE65" s="701">
        <v>1.84</v>
      </c>
      <c r="AF65" s="701">
        <v>0.51</v>
      </c>
      <c r="AG65" s="701">
        <v>0.17</v>
      </c>
      <c r="AH65" s="701">
        <v>-0.23</v>
      </c>
      <c r="AI65" s="701">
        <v>0</v>
      </c>
      <c r="AJ65" s="701">
        <v>-0.87</v>
      </c>
    </row>
    <row r="66" spans="1:36" s="482" customFormat="1" ht="12" customHeight="1">
      <c r="A66" s="1485" t="s">
        <v>1213</v>
      </c>
      <c r="B66" s="733">
        <v>-0.47</v>
      </c>
      <c r="C66" s="733">
        <v>-0.02</v>
      </c>
      <c r="D66" s="733">
        <v>-0.01</v>
      </c>
      <c r="E66" s="733">
        <v>-1.91</v>
      </c>
      <c r="F66" s="733">
        <v>-1.28</v>
      </c>
      <c r="G66" s="733">
        <v>-1.96</v>
      </c>
      <c r="H66" s="733">
        <v>-2.1</v>
      </c>
      <c r="I66" s="733">
        <v>0.01</v>
      </c>
      <c r="J66" s="733">
        <v>0.05</v>
      </c>
      <c r="K66" s="733">
        <v>-0.36</v>
      </c>
      <c r="L66" s="733">
        <v>-5.32</v>
      </c>
      <c r="M66" s="733">
        <v>-3.51</v>
      </c>
      <c r="N66" s="733">
        <v>-0.63</v>
      </c>
      <c r="O66" s="733">
        <v>-1.42</v>
      </c>
      <c r="P66" s="733">
        <v>-2.09</v>
      </c>
      <c r="Q66" s="733">
        <v>-0.27</v>
      </c>
      <c r="R66" s="733">
        <v>-1.25</v>
      </c>
      <c r="S66" s="1485" t="s">
        <v>1213</v>
      </c>
      <c r="T66" s="733">
        <v>-2.61</v>
      </c>
      <c r="U66" s="733">
        <v>0</v>
      </c>
      <c r="V66" s="733">
        <v>-0.04</v>
      </c>
      <c r="W66" s="733">
        <v>-0.02</v>
      </c>
      <c r="X66" s="733">
        <v>0.01</v>
      </c>
      <c r="Y66" s="733">
        <v>0.13</v>
      </c>
      <c r="Z66" s="733">
        <v>0.12</v>
      </c>
      <c r="AA66" s="733">
        <v>-3.82</v>
      </c>
      <c r="AB66" s="733">
        <v>-1.99</v>
      </c>
      <c r="AC66" s="733">
        <v>-4.93</v>
      </c>
      <c r="AD66" s="733">
        <v>-0.61</v>
      </c>
      <c r="AE66" s="733">
        <v>-2.2799999999999998</v>
      </c>
      <c r="AF66" s="733">
        <v>-58.71</v>
      </c>
      <c r="AG66" s="733">
        <v>-1.89</v>
      </c>
      <c r="AH66" s="733">
        <v>-0.87</v>
      </c>
      <c r="AI66" s="733">
        <v>0</v>
      </c>
      <c r="AJ66" s="733">
        <v>-6.05</v>
      </c>
    </row>
    <row r="67" spans="1:36" s="482" customFormat="1" ht="12" customHeight="1">
      <c r="A67" s="1486" t="s">
        <v>1214</v>
      </c>
      <c r="B67" s="701">
        <v>-1.53</v>
      </c>
      <c r="C67" s="701">
        <v>-0.38</v>
      </c>
      <c r="D67" s="701">
        <v>0.03</v>
      </c>
      <c r="E67" s="701">
        <v>-0.25</v>
      </c>
      <c r="F67" s="701">
        <v>-1.78</v>
      </c>
      <c r="G67" s="701">
        <v>-3.06</v>
      </c>
      <c r="H67" s="701">
        <v>-3.07</v>
      </c>
      <c r="I67" s="701">
        <v>-0.02</v>
      </c>
      <c r="J67" s="701">
        <v>-2.68</v>
      </c>
      <c r="K67" s="701">
        <v>-3.81</v>
      </c>
      <c r="L67" s="701">
        <v>-1.06</v>
      </c>
      <c r="M67" s="701">
        <v>-6.83</v>
      </c>
      <c r="N67" s="701">
        <v>-0.59</v>
      </c>
      <c r="O67" s="701">
        <v>-5.89</v>
      </c>
      <c r="P67" s="701">
        <v>-1.86</v>
      </c>
      <c r="Q67" s="701">
        <v>-2.33</v>
      </c>
      <c r="R67" s="701">
        <v>-0.51</v>
      </c>
      <c r="S67" s="1486" t="s">
        <v>1214</v>
      </c>
      <c r="T67" s="701">
        <v>-3.14</v>
      </c>
      <c r="U67" s="701">
        <v>0</v>
      </c>
      <c r="V67" s="701">
        <v>-0.2</v>
      </c>
      <c r="W67" s="701">
        <v>-2.57</v>
      </c>
      <c r="X67" s="701">
        <v>0</v>
      </c>
      <c r="Y67" s="701">
        <v>-3.36</v>
      </c>
      <c r="Z67" s="701">
        <v>0</v>
      </c>
      <c r="AA67" s="701">
        <v>-2.16</v>
      </c>
      <c r="AB67" s="701">
        <v>-2.3199999999999998</v>
      </c>
      <c r="AC67" s="701">
        <v>-1.84</v>
      </c>
      <c r="AD67" s="701">
        <v>-0.77</v>
      </c>
      <c r="AE67" s="701">
        <v>-2.2799999999999998</v>
      </c>
      <c r="AF67" s="701">
        <v>0.39</v>
      </c>
      <c r="AG67" s="701">
        <v>-1.43</v>
      </c>
      <c r="AH67" s="701">
        <v>-1.73</v>
      </c>
      <c r="AI67" s="701">
        <v>0</v>
      </c>
      <c r="AJ67" s="701">
        <v>2.5</v>
      </c>
    </row>
    <row r="68" spans="1:36" s="482" customFormat="1" ht="12" customHeight="1">
      <c r="A68" s="1485" t="s">
        <v>1207</v>
      </c>
      <c r="B68" s="733">
        <v>-4.0999999999999996</v>
      </c>
      <c r="C68" s="733">
        <v>-0.03</v>
      </c>
      <c r="D68" s="733">
        <v>-0.03</v>
      </c>
      <c r="E68" s="733">
        <v>-0.95</v>
      </c>
      <c r="F68" s="733">
        <v>-0.91</v>
      </c>
      <c r="G68" s="733">
        <v>-2.14</v>
      </c>
      <c r="H68" s="733">
        <v>-2.2400000000000002</v>
      </c>
      <c r="I68" s="733">
        <v>-0.02</v>
      </c>
      <c r="J68" s="733">
        <v>0.56000000000000005</v>
      </c>
      <c r="K68" s="733">
        <v>0.68</v>
      </c>
      <c r="L68" s="733">
        <v>-0.79</v>
      </c>
      <c r="M68" s="733">
        <v>-4.1500000000000004</v>
      </c>
      <c r="N68" s="733">
        <v>-0.36</v>
      </c>
      <c r="O68" s="733">
        <v>-0.41</v>
      </c>
      <c r="P68" s="733">
        <v>-3.98</v>
      </c>
      <c r="Q68" s="733">
        <v>0.98</v>
      </c>
      <c r="R68" s="733">
        <v>-2.89</v>
      </c>
      <c r="S68" s="1485" t="s">
        <v>1207</v>
      </c>
      <c r="T68" s="733">
        <v>-2.2000000000000002</v>
      </c>
      <c r="U68" s="733">
        <v>0</v>
      </c>
      <c r="V68" s="733">
        <v>7.0000000000000007E-2</v>
      </c>
      <c r="W68" s="733">
        <v>-0.21</v>
      </c>
      <c r="X68" s="733">
        <v>-0.01</v>
      </c>
      <c r="Y68" s="733">
        <v>7.82</v>
      </c>
      <c r="Z68" s="733">
        <v>0.02</v>
      </c>
      <c r="AA68" s="733">
        <v>-3.28</v>
      </c>
      <c r="AB68" s="733">
        <v>-1.75</v>
      </c>
      <c r="AC68" s="733">
        <v>0.26</v>
      </c>
      <c r="AD68" s="733">
        <v>-0.72</v>
      </c>
      <c r="AE68" s="733">
        <v>-1.62</v>
      </c>
      <c r="AF68" s="733">
        <v>0</v>
      </c>
      <c r="AG68" s="733">
        <v>-1.07</v>
      </c>
      <c r="AH68" s="733">
        <v>-1</v>
      </c>
      <c r="AI68" s="733">
        <v>0</v>
      </c>
      <c r="AJ68" s="733">
        <v>-2.11</v>
      </c>
    </row>
    <row r="69" spans="1:36" s="482" customFormat="1" ht="12" customHeight="1" thickBot="1">
      <c r="A69" s="1598" t="s">
        <v>1215</v>
      </c>
      <c r="B69" s="1584">
        <v>5.27</v>
      </c>
      <c r="C69" s="1584">
        <v>-0.41</v>
      </c>
      <c r="D69" s="1584">
        <v>0.01</v>
      </c>
      <c r="E69" s="1584">
        <v>3.38</v>
      </c>
      <c r="F69" s="1584">
        <v>1.33</v>
      </c>
      <c r="G69" s="1584">
        <v>2.66</v>
      </c>
      <c r="H69" s="1584">
        <v>2.72</v>
      </c>
      <c r="I69" s="1584">
        <v>0</v>
      </c>
      <c r="J69" s="1584">
        <v>0.6</v>
      </c>
      <c r="K69" s="1584">
        <v>1</v>
      </c>
      <c r="L69" s="1584">
        <v>-0.05</v>
      </c>
      <c r="M69" s="1584">
        <v>3.06</v>
      </c>
      <c r="N69" s="1584">
        <v>0.46</v>
      </c>
      <c r="O69" s="1584">
        <v>1.24</v>
      </c>
      <c r="P69" s="1584">
        <v>1.37</v>
      </c>
      <c r="Q69" s="1584">
        <v>-0.42</v>
      </c>
      <c r="R69" s="1584">
        <v>5.27</v>
      </c>
      <c r="S69" s="1598" t="s">
        <v>1215</v>
      </c>
      <c r="T69" s="1584">
        <v>4.92</v>
      </c>
      <c r="U69" s="1584">
        <v>0</v>
      </c>
      <c r="V69" s="1584">
        <v>0.05</v>
      </c>
      <c r="W69" s="1584">
        <v>0.08</v>
      </c>
      <c r="X69" s="1584">
        <v>0</v>
      </c>
      <c r="Y69" s="1584">
        <v>1.1100000000000001</v>
      </c>
      <c r="Z69" s="1584">
        <v>0</v>
      </c>
      <c r="AA69" s="1584">
        <v>3.69</v>
      </c>
      <c r="AB69" s="1584">
        <v>2.06</v>
      </c>
      <c r="AC69" s="1584">
        <v>3.82</v>
      </c>
      <c r="AD69" s="1584">
        <v>-0.2</v>
      </c>
      <c r="AE69" s="1584">
        <v>3.34</v>
      </c>
      <c r="AF69" s="1584">
        <v>0</v>
      </c>
      <c r="AG69" s="1584">
        <v>1.26</v>
      </c>
      <c r="AH69" s="1584">
        <v>2.2599999999999998</v>
      </c>
      <c r="AI69" s="1584">
        <v>0</v>
      </c>
      <c r="AJ69" s="1584">
        <v>2.13</v>
      </c>
    </row>
    <row r="70" spans="1:36" s="18" customFormat="1" ht="11.1" customHeight="1">
      <c r="A70" s="381" t="s">
        <v>1271</v>
      </c>
      <c r="B70" s="2163" t="s">
        <v>1496</v>
      </c>
      <c r="C70" s="2163"/>
      <c r="D70" s="2163"/>
      <c r="E70" s="2163"/>
      <c r="F70" s="2163"/>
      <c r="G70" s="2163"/>
      <c r="H70" s="382"/>
      <c r="I70" s="384" t="s">
        <v>770</v>
      </c>
      <c r="J70" s="382" t="s">
        <v>992</v>
      </c>
      <c r="S70" s="384" t="s">
        <v>770</v>
      </c>
      <c r="T70" s="382" t="s">
        <v>992</v>
      </c>
    </row>
    <row r="71" spans="1:36" s="18" customFormat="1" ht="10.5" customHeight="1">
      <c r="B71" s="2164" t="s">
        <v>1841</v>
      </c>
      <c r="C71" s="2164"/>
      <c r="D71" s="2164"/>
      <c r="E71" s="2164"/>
      <c r="F71" s="2164"/>
      <c r="G71" s="2164"/>
      <c r="H71" s="2164"/>
    </row>
    <row r="72" spans="1:36" s="18" customFormat="1" ht="9" customHeight="1">
      <c r="B72" s="2165" t="s">
        <v>1842</v>
      </c>
      <c r="C72" s="2165"/>
      <c r="D72" s="2165"/>
      <c r="E72" s="2165"/>
      <c r="F72" s="2165"/>
      <c r="G72" s="2165"/>
    </row>
  </sheetData>
  <mergeCells count="11">
    <mergeCell ref="B70:G70"/>
    <mergeCell ref="B71:H71"/>
    <mergeCell ref="B72:G72"/>
    <mergeCell ref="AI2:AJ2"/>
    <mergeCell ref="AH1:AJ1"/>
    <mergeCell ref="A1:H1"/>
    <mergeCell ref="I1:N1"/>
    <mergeCell ref="P1:R1"/>
    <mergeCell ref="Q2:R2"/>
    <mergeCell ref="AB1:AF1"/>
    <mergeCell ref="S1:AA1"/>
  </mergeCells>
  <phoneticPr fontId="47" type="noConversion"/>
  <pageMargins left="0.62992125984252001" right="0.511811023622047" top="0.511811023622047" bottom="0.511811023622047" header="0" footer="0.143700787"/>
  <pageSetup paperSize="512" firstPageNumber="96" orientation="portrait" useFirstPageNumber="1" r:id="rId1"/>
  <headerFooter>
    <oddFooter>&amp;C&amp;"Times New Roman,Regular"&amp;8&amp;P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dimension ref="A1:X91"/>
  <sheetViews>
    <sheetView zoomScaleNormal="100" workbookViewId="0">
      <pane xSplit="1" ySplit="5" topLeftCell="C49" activePane="bottomRight" state="frozen"/>
      <selection pane="topRight" activeCell="B1" sqref="B1"/>
      <selection pane="bottomLeft" activeCell="A6" sqref="A6"/>
      <selection pane="bottomRight" activeCell="P4" sqref="P4"/>
    </sheetView>
  </sheetViews>
  <sheetFormatPr defaultColWidth="9.140625" defaultRowHeight="11.25"/>
  <cols>
    <col min="1" max="1" width="7.85546875" style="24" customWidth="1"/>
    <col min="2" max="2" width="8.5703125" style="10" customWidth="1"/>
    <col min="3" max="3" width="7.7109375" style="10" customWidth="1"/>
    <col min="4" max="4" width="7" style="10" customWidth="1"/>
    <col min="5" max="5" width="7.42578125" style="10" customWidth="1"/>
    <col min="6" max="6" width="5.85546875" style="10" customWidth="1"/>
    <col min="7" max="7" width="8.5703125" style="10" customWidth="1"/>
    <col min="8" max="8" width="9.28515625" style="10" customWidth="1"/>
    <col min="9" max="9" width="7.42578125" style="10" customWidth="1"/>
    <col min="10" max="10" width="8.7109375" style="10" customWidth="1"/>
    <col min="11" max="11" width="6.85546875" style="10" customWidth="1"/>
    <col min="12" max="12" width="6.42578125" style="10" customWidth="1"/>
    <col min="13" max="13" width="8.5703125" style="10" customWidth="1"/>
    <col min="14" max="14" width="7" style="10" customWidth="1"/>
    <col min="15" max="15" width="7.140625" style="10" customWidth="1"/>
    <col min="16" max="16" width="6.5703125" style="10" customWidth="1"/>
    <col min="17" max="17" width="7.42578125" style="10" customWidth="1"/>
    <col min="18" max="18" width="9" style="10" customWidth="1"/>
    <col min="19" max="19" width="6.140625" style="10" customWidth="1"/>
    <col min="20" max="21" width="6.7109375" style="10" customWidth="1"/>
    <col min="22" max="16384" width="9.140625" style="10"/>
  </cols>
  <sheetData>
    <row r="1" spans="1:22" s="34" customFormat="1" ht="15" customHeight="1">
      <c r="A1" s="2170" t="s">
        <v>1272</v>
      </c>
      <c r="B1" s="2170"/>
      <c r="C1" s="2170"/>
      <c r="D1" s="2170"/>
      <c r="E1" s="2170"/>
      <c r="F1" s="2170"/>
      <c r="G1" s="2170"/>
      <c r="H1" s="2170"/>
      <c r="I1" s="2170"/>
      <c r="J1" s="2170"/>
      <c r="K1" s="1974" t="s">
        <v>891</v>
      </c>
      <c r="L1" s="2171"/>
      <c r="M1" s="2171"/>
      <c r="N1" s="2171"/>
      <c r="O1" s="2171"/>
      <c r="P1" s="2171"/>
      <c r="Q1" s="2171"/>
      <c r="R1" s="2171"/>
      <c r="S1" s="1972" t="s">
        <v>2463</v>
      </c>
      <c r="T1" s="1972"/>
      <c r="U1" s="1972"/>
    </row>
    <row r="2" spans="1:22" s="24" customFormat="1" ht="11.25" customHeight="1">
      <c r="A2" s="147"/>
      <c r="B2" s="147"/>
      <c r="C2" s="147"/>
      <c r="D2" s="147"/>
      <c r="E2" s="147"/>
      <c r="F2" s="147"/>
      <c r="G2" s="147"/>
      <c r="H2" s="66"/>
      <c r="K2" s="214"/>
      <c r="L2" s="214"/>
      <c r="T2" s="2175"/>
      <c r="U2" s="2175"/>
    </row>
    <row r="3" spans="1:22" s="183" customFormat="1" ht="30" customHeight="1">
      <c r="A3" s="94" t="s">
        <v>1261</v>
      </c>
      <c r="B3" s="94" t="s">
        <v>894</v>
      </c>
      <c r="C3" s="365" t="s">
        <v>1688</v>
      </c>
      <c r="D3" s="94" t="s">
        <v>2430</v>
      </c>
      <c r="E3" s="2172" t="s">
        <v>2237</v>
      </c>
      <c r="F3" s="2173"/>
      <c r="G3" s="94" t="s">
        <v>893</v>
      </c>
      <c r="H3" s="94" t="s">
        <v>2269</v>
      </c>
      <c r="I3" s="101" t="s">
        <v>2234</v>
      </c>
      <c r="J3" s="94" t="s">
        <v>2268</v>
      </c>
      <c r="K3" s="94" t="s">
        <v>2236</v>
      </c>
      <c r="L3" s="2176" t="s">
        <v>2954</v>
      </c>
      <c r="M3" s="2177"/>
      <c r="N3" s="2178"/>
      <c r="O3" s="2172" t="s">
        <v>2953</v>
      </c>
      <c r="P3" s="2173"/>
      <c r="Q3" s="94" t="s">
        <v>1657</v>
      </c>
      <c r="R3" s="94" t="s">
        <v>577</v>
      </c>
      <c r="S3" s="1967" t="s">
        <v>2235</v>
      </c>
      <c r="T3" s="1967"/>
      <c r="U3" s="1967"/>
      <c r="V3" s="215"/>
    </row>
    <row r="4" spans="1:22" s="1545" customFormat="1" ht="35.1" customHeight="1">
      <c r="A4" s="1542" t="s">
        <v>1262</v>
      </c>
      <c r="B4" s="1542" t="s">
        <v>1263</v>
      </c>
      <c r="C4" s="1542" t="s">
        <v>1187</v>
      </c>
      <c r="D4" s="1554" t="s">
        <v>2431</v>
      </c>
      <c r="E4" s="1542" t="s">
        <v>1273</v>
      </c>
      <c r="F4" s="1542" t="s">
        <v>1274</v>
      </c>
      <c r="G4" s="1542" t="s">
        <v>919</v>
      </c>
      <c r="H4" s="1542" t="s">
        <v>1275</v>
      </c>
      <c r="I4" s="1555" t="s">
        <v>1188</v>
      </c>
      <c r="J4" s="1543" t="s">
        <v>1286</v>
      </c>
      <c r="K4" s="1543" t="s">
        <v>1287</v>
      </c>
      <c r="L4" s="1543" t="s">
        <v>1288</v>
      </c>
      <c r="M4" s="1543" t="s">
        <v>2952</v>
      </c>
      <c r="N4" s="1543" t="s">
        <v>1189</v>
      </c>
      <c r="O4" s="1543" t="s">
        <v>1276</v>
      </c>
      <c r="P4" s="1543" t="s">
        <v>1165</v>
      </c>
      <c r="Q4" s="1543" t="s">
        <v>89</v>
      </c>
      <c r="R4" s="1543" t="s">
        <v>1277</v>
      </c>
      <c r="S4" s="1543" t="s">
        <v>1289</v>
      </c>
      <c r="T4" s="1543" t="s">
        <v>1290</v>
      </c>
      <c r="U4" s="1543" t="s">
        <v>1291</v>
      </c>
      <c r="V4" s="1544"/>
    </row>
    <row r="5" spans="1:22" s="183" customFormat="1" ht="11.1" customHeight="1">
      <c r="A5" s="216" t="s">
        <v>1132</v>
      </c>
      <c r="B5" s="216">
        <v>1</v>
      </c>
      <c r="C5" s="216">
        <v>2</v>
      </c>
      <c r="D5" s="216">
        <v>3</v>
      </c>
      <c r="E5" s="216">
        <v>4</v>
      </c>
      <c r="F5" s="216">
        <v>5</v>
      </c>
      <c r="G5" s="216">
        <v>6</v>
      </c>
      <c r="H5" s="216">
        <v>7</v>
      </c>
      <c r="I5" s="216">
        <v>8</v>
      </c>
      <c r="J5" s="216">
        <v>9</v>
      </c>
      <c r="K5" s="216">
        <v>10</v>
      </c>
      <c r="L5" s="216">
        <v>11</v>
      </c>
      <c r="M5" s="216">
        <v>12</v>
      </c>
      <c r="N5" s="216">
        <v>13</v>
      </c>
      <c r="O5" s="216">
        <v>14</v>
      </c>
      <c r="P5" s="216">
        <v>15</v>
      </c>
      <c r="Q5" s="216">
        <v>16</v>
      </c>
      <c r="R5" s="216">
        <v>17</v>
      </c>
      <c r="S5" s="216">
        <v>18</v>
      </c>
      <c r="T5" s="216">
        <v>19</v>
      </c>
      <c r="U5" s="216">
        <v>20</v>
      </c>
      <c r="V5" s="217"/>
    </row>
    <row r="6" spans="1:22" ht="11.45" hidden="1" customHeight="1">
      <c r="A6" s="12">
        <v>1993</v>
      </c>
      <c r="B6" s="19">
        <v>359.52600000000001</v>
      </c>
      <c r="C6" s="19">
        <v>31.333300000000001</v>
      </c>
      <c r="D6" s="19">
        <v>12.58</v>
      </c>
      <c r="E6" s="19">
        <v>14.905799999999999</v>
      </c>
      <c r="F6" s="19">
        <v>16.997499999999999</v>
      </c>
      <c r="G6" s="19">
        <v>58.018300000000004</v>
      </c>
      <c r="H6" s="19">
        <v>111.946</v>
      </c>
      <c r="I6" s="19">
        <v>94.4</v>
      </c>
      <c r="J6" s="19">
        <v>237.25</v>
      </c>
      <c r="K6" s="19">
        <v>257.18299999999999</v>
      </c>
      <c r="L6" s="19">
        <v>136.58199999999999</v>
      </c>
      <c r="M6" s="19">
        <v>140.21199999999999</v>
      </c>
      <c r="N6" s="19">
        <v>127.05</v>
      </c>
      <c r="O6" s="19">
        <v>312.14400000000001</v>
      </c>
      <c r="P6" s="19">
        <v>383.06299999999999</v>
      </c>
      <c r="Q6" s="19">
        <v>216.5</v>
      </c>
      <c r="R6" s="19">
        <v>503.13299999999998</v>
      </c>
      <c r="S6" s="19">
        <v>24.9758</v>
      </c>
      <c r="T6" s="19">
        <v>10.02</v>
      </c>
      <c r="U6" s="19">
        <v>21.612500000000001</v>
      </c>
      <c r="V6" s="135"/>
    </row>
    <row r="7" spans="1:22" ht="11.45" customHeight="1">
      <c r="A7" s="552">
        <v>1994</v>
      </c>
      <c r="B7" s="580">
        <v>384.12</v>
      </c>
      <c r="C7" s="580">
        <v>32.299999999999997</v>
      </c>
      <c r="D7" s="580">
        <v>11.45</v>
      </c>
      <c r="E7" s="580">
        <v>14.8317</v>
      </c>
      <c r="F7" s="580">
        <v>15.825799999999999</v>
      </c>
      <c r="G7" s="580">
        <v>79.715800000000002</v>
      </c>
      <c r="H7" s="580">
        <v>132.10499999999999</v>
      </c>
      <c r="I7" s="580">
        <v>131.38999999999999</v>
      </c>
      <c r="J7" s="580">
        <v>269.45800000000003</v>
      </c>
      <c r="K7" s="580">
        <v>484.96300000000002</v>
      </c>
      <c r="L7" s="580">
        <v>128.75399999999999</v>
      </c>
      <c r="M7" s="580">
        <v>149.78299999999999</v>
      </c>
      <c r="N7" s="580">
        <v>129.5</v>
      </c>
      <c r="O7" s="580">
        <v>437.27</v>
      </c>
      <c r="P7" s="580">
        <v>484.21199999999999</v>
      </c>
      <c r="Q7" s="580">
        <v>198.833</v>
      </c>
      <c r="R7" s="580">
        <v>603.04200000000003</v>
      </c>
      <c r="S7" s="580">
        <v>25.467500000000001</v>
      </c>
      <c r="T7" s="580">
        <v>12.1083</v>
      </c>
      <c r="U7" s="580">
        <v>22.03</v>
      </c>
      <c r="V7" s="135"/>
    </row>
    <row r="8" spans="1:22" ht="11.45" customHeight="1">
      <c r="A8" s="12">
        <v>1995</v>
      </c>
      <c r="B8" s="19">
        <v>384.161</v>
      </c>
      <c r="C8" s="19">
        <v>39.371699999999997</v>
      </c>
      <c r="D8" s="19">
        <v>12.27</v>
      </c>
      <c r="E8" s="19">
        <v>16.127500000000001</v>
      </c>
      <c r="F8" s="19">
        <v>17.055800000000001</v>
      </c>
      <c r="G8" s="19">
        <v>98.301699999999997</v>
      </c>
      <c r="H8" s="19">
        <v>149.63200000000001</v>
      </c>
      <c r="I8" s="19">
        <v>187.208</v>
      </c>
      <c r="J8" s="19">
        <v>320.80200000000002</v>
      </c>
      <c r="K8" s="19">
        <v>314.89100000000002</v>
      </c>
      <c r="L8" s="19">
        <v>189.78</v>
      </c>
      <c r="M8" s="19">
        <v>176.96</v>
      </c>
      <c r="N8" s="19">
        <v>145.46</v>
      </c>
      <c r="O8" s="19">
        <v>537.62300000000005</v>
      </c>
      <c r="P8" s="19">
        <v>623.65599999999995</v>
      </c>
      <c r="Q8" s="19">
        <v>198.583</v>
      </c>
      <c r="R8" s="19">
        <v>584.69200000000001</v>
      </c>
      <c r="S8" s="19">
        <v>26.246700000000001</v>
      </c>
      <c r="T8" s="19">
        <v>13.2783</v>
      </c>
      <c r="U8" s="19">
        <v>23.055800000000001</v>
      </c>
      <c r="V8" s="135"/>
    </row>
    <row r="9" spans="1:22" ht="11.45" customHeight="1">
      <c r="A9" s="552">
        <v>1996</v>
      </c>
      <c r="B9" s="580">
        <v>387.81900000000002</v>
      </c>
      <c r="C9" s="580">
        <v>38.074199999999998</v>
      </c>
      <c r="D9" s="580">
        <v>12.97</v>
      </c>
      <c r="E9" s="580">
        <v>18.5367</v>
      </c>
      <c r="F9" s="580">
        <v>20.453299999999999</v>
      </c>
      <c r="G9" s="580">
        <v>80.540800000000004</v>
      </c>
      <c r="H9" s="580">
        <v>175.83</v>
      </c>
      <c r="I9" s="580">
        <v>179</v>
      </c>
      <c r="J9" s="580">
        <v>338.06400000000002</v>
      </c>
      <c r="K9" s="580">
        <v>366.64299999999997</v>
      </c>
      <c r="L9" s="580">
        <v>214.172</v>
      </c>
      <c r="M9" s="580">
        <v>197.22900000000001</v>
      </c>
      <c r="N9" s="580">
        <v>179.98</v>
      </c>
      <c r="O9" s="580">
        <v>467.15300000000002</v>
      </c>
      <c r="P9" s="580">
        <v>509.38299999999998</v>
      </c>
      <c r="Q9" s="580">
        <v>266.41699999999997</v>
      </c>
      <c r="R9" s="580">
        <v>544.23299999999995</v>
      </c>
      <c r="S9" s="580">
        <v>25.968299999999999</v>
      </c>
      <c r="T9" s="580">
        <v>11.955</v>
      </c>
      <c r="U9" s="580">
        <v>22.363299999999999</v>
      </c>
      <c r="V9" s="135"/>
    </row>
    <row r="10" spans="1:22" ht="11.45" customHeight="1">
      <c r="A10" s="12">
        <v>1997</v>
      </c>
      <c r="B10" s="19">
        <v>330.995</v>
      </c>
      <c r="C10" s="19">
        <v>35.099200000000003</v>
      </c>
      <c r="D10" s="19">
        <v>13.04</v>
      </c>
      <c r="E10" s="19">
        <v>18.101700000000001</v>
      </c>
      <c r="F10" s="19">
        <v>19.1158</v>
      </c>
      <c r="G10" s="19">
        <v>79.228300000000004</v>
      </c>
      <c r="H10" s="19">
        <v>171.90899999999999</v>
      </c>
      <c r="I10" s="19">
        <v>114</v>
      </c>
      <c r="J10" s="19">
        <v>302.46899999999999</v>
      </c>
      <c r="K10" s="19">
        <v>372.74599999999998</v>
      </c>
      <c r="L10" s="19">
        <v>168.78899999999999</v>
      </c>
      <c r="M10" s="19">
        <v>149.51300000000001</v>
      </c>
      <c r="N10" s="19">
        <v>153.15</v>
      </c>
      <c r="O10" s="19">
        <v>490.428</v>
      </c>
      <c r="P10" s="19">
        <v>506.51400000000001</v>
      </c>
      <c r="Q10" s="19">
        <v>279.83300000000003</v>
      </c>
      <c r="R10" s="19">
        <v>525.84199999999998</v>
      </c>
      <c r="S10" s="19">
        <v>27.2317</v>
      </c>
      <c r="T10" s="19">
        <v>11.4017</v>
      </c>
      <c r="U10" s="19">
        <v>21.934200000000001</v>
      </c>
      <c r="V10" s="135"/>
    </row>
    <row r="11" spans="1:22" ht="11.45" customHeight="1">
      <c r="A11" s="552">
        <v>1998</v>
      </c>
      <c r="B11" s="580">
        <v>294.13900000000001</v>
      </c>
      <c r="C11" s="580">
        <v>29.230799999999999</v>
      </c>
      <c r="D11" s="580">
        <v>13.41</v>
      </c>
      <c r="E11" s="580">
        <v>12.09</v>
      </c>
      <c r="F11" s="580">
        <v>12.719200000000001</v>
      </c>
      <c r="G11" s="580">
        <v>65.531700000000001</v>
      </c>
      <c r="H11" s="580">
        <v>173.67400000000001</v>
      </c>
      <c r="I11" s="580">
        <v>83.083299999999994</v>
      </c>
      <c r="J11" s="580">
        <v>305.423</v>
      </c>
      <c r="K11" s="580">
        <v>320.88799999999998</v>
      </c>
      <c r="L11" s="580">
        <v>144.97399999999999</v>
      </c>
      <c r="M11" s="580">
        <v>114.465</v>
      </c>
      <c r="N11" s="580">
        <v>125.12</v>
      </c>
      <c r="O11" s="580">
        <v>600.84699999999998</v>
      </c>
      <c r="P11" s="580">
        <v>603.01700000000005</v>
      </c>
      <c r="Q11" s="580">
        <v>174.583</v>
      </c>
      <c r="R11" s="580">
        <v>562.49199999999996</v>
      </c>
      <c r="S11" s="580">
        <v>27.543299999999999</v>
      </c>
      <c r="T11" s="580">
        <v>8.9183299999999992</v>
      </c>
      <c r="U11" s="580">
        <v>22.063300000000002</v>
      </c>
      <c r="V11" s="135"/>
    </row>
    <row r="12" spans="1:22" ht="11.45" customHeight="1">
      <c r="A12" s="12">
        <v>1999</v>
      </c>
      <c r="B12" s="19">
        <v>278.87299999999999</v>
      </c>
      <c r="C12" s="19">
        <v>25.8917</v>
      </c>
      <c r="D12" s="19">
        <v>11.93</v>
      </c>
      <c r="E12" s="19">
        <v>17.075800000000001</v>
      </c>
      <c r="F12" s="19">
        <v>17.699200000000001</v>
      </c>
      <c r="G12" s="19">
        <v>53.127499999999998</v>
      </c>
      <c r="H12" s="19">
        <v>154.49799999999999</v>
      </c>
      <c r="I12" s="19">
        <v>66.401700000000005</v>
      </c>
      <c r="J12" s="19">
        <v>248.96799999999999</v>
      </c>
      <c r="K12" s="19">
        <v>285.423</v>
      </c>
      <c r="L12" s="19">
        <v>129.357</v>
      </c>
      <c r="M12" s="19">
        <v>98.260900000000007</v>
      </c>
      <c r="N12" s="19">
        <v>113.83</v>
      </c>
      <c r="O12" s="19">
        <v>377.27699999999999</v>
      </c>
      <c r="P12" s="19">
        <v>424.93200000000002</v>
      </c>
      <c r="Q12" s="19">
        <v>152.417</v>
      </c>
      <c r="R12" s="19">
        <v>392.4</v>
      </c>
      <c r="S12" s="19">
        <v>26.908300000000001</v>
      </c>
      <c r="T12" s="19">
        <v>6.2649999999999997</v>
      </c>
      <c r="U12" s="19">
        <v>21.139199999999999</v>
      </c>
      <c r="V12" s="135"/>
    </row>
    <row r="13" spans="1:22" ht="11.45" customHeight="1">
      <c r="A13" s="552">
        <v>2000</v>
      </c>
      <c r="B13" s="580">
        <v>279.17099999999999</v>
      </c>
      <c r="C13" s="580">
        <v>26.25</v>
      </c>
      <c r="D13" s="580">
        <v>12.45</v>
      </c>
      <c r="E13" s="580">
        <v>26.085000000000001</v>
      </c>
      <c r="F13" s="580">
        <v>28.307500000000001</v>
      </c>
      <c r="G13" s="580">
        <v>59.046700000000001</v>
      </c>
      <c r="H13" s="580">
        <v>137.71700000000001</v>
      </c>
      <c r="I13" s="580">
        <v>101.116</v>
      </c>
      <c r="J13" s="580">
        <v>203.69399999999999</v>
      </c>
      <c r="K13" s="580">
        <v>265.82600000000002</v>
      </c>
      <c r="L13" s="580">
        <v>124.72</v>
      </c>
      <c r="M13" s="580">
        <v>100.739</v>
      </c>
      <c r="N13" s="580">
        <v>110.5</v>
      </c>
      <c r="O13" s="580">
        <v>261.14400000000001</v>
      </c>
      <c r="P13" s="580">
        <v>295.36099999999999</v>
      </c>
      <c r="Q13" s="580">
        <v>187.083</v>
      </c>
      <c r="R13" s="580">
        <v>351.80799999999999</v>
      </c>
      <c r="S13" s="580">
        <v>25.21</v>
      </c>
      <c r="T13" s="580">
        <v>8.0791699999999995</v>
      </c>
      <c r="U13" s="580">
        <v>19.395800000000001</v>
      </c>
      <c r="V13" s="135"/>
    </row>
    <row r="14" spans="1:22" ht="11.45" customHeight="1">
      <c r="A14" s="12">
        <v>2001</v>
      </c>
      <c r="B14" s="19">
        <v>271.05099999999999</v>
      </c>
      <c r="C14" s="19">
        <v>32.3125</v>
      </c>
      <c r="D14" s="19">
        <v>12.99</v>
      </c>
      <c r="E14" s="19">
        <v>22.71</v>
      </c>
      <c r="F14" s="19">
        <v>24.4117</v>
      </c>
      <c r="G14" s="19">
        <v>47.996699999999997</v>
      </c>
      <c r="H14" s="19">
        <v>126.883</v>
      </c>
      <c r="I14" s="19">
        <v>95.319199999999995</v>
      </c>
      <c r="J14" s="19">
        <v>172.70500000000001</v>
      </c>
      <c r="K14" s="19">
        <v>205.81800000000001</v>
      </c>
      <c r="L14" s="19">
        <v>144.03</v>
      </c>
      <c r="M14" s="19">
        <v>106.373</v>
      </c>
      <c r="N14" s="19">
        <v>120.56</v>
      </c>
      <c r="O14" s="19">
        <v>238.398</v>
      </c>
      <c r="P14" s="19">
        <v>248.316</v>
      </c>
      <c r="Q14" s="19">
        <v>180.75</v>
      </c>
      <c r="R14" s="19">
        <v>347</v>
      </c>
      <c r="S14" s="19">
        <v>23.944199999999999</v>
      </c>
      <c r="T14" s="19">
        <v>8.2316699999999994</v>
      </c>
      <c r="U14" s="19">
        <v>21.337499999999999</v>
      </c>
      <c r="V14" s="135"/>
    </row>
    <row r="15" spans="1:22" ht="11.45" customHeight="1">
      <c r="A15" s="552">
        <v>2002</v>
      </c>
      <c r="B15" s="580">
        <v>310.03500000000003</v>
      </c>
      <c r="C15" s="580">
        <v>27.06</v>
      </c>
      <c r="D15" s="580">
        <v>12.68</v>
      </c>
      <c r="E15" s="580">
        <v>23.734200000000001</v>
      </c>
      <c r="F15" s="580">
        <v>24.9983</v>
      </c>
      <c r="G15" s="580">
        <v>46.260800000000003</v>
      </c>
      <c r="H15" s="580">
        <v>133.06700000000001</v>
      </c>
      <c r="I15" s="580">
        <v>94.361699999999999</v>
      </c>
      <c r="J15" s="580">
        <v>191.827</v>
      </c>
      <c r="K15" s="580">
        <v>222.398</v>
      </c>
      <c r="L15" s="580">
        <v>152.78299999999999</v>
      </c>
      <c r="M15" s="580">
        <v>132.167</v>
      </c>
      <c r="N15" s="580">
        <v>121.22</v>
      </c>
      <c r="O15" s="580">
        <v>356.745</v>
      </c>
      <c r="P15" s="580">
        <v>359.661</v>
      </c>
      <c r="Q15" s="580">
        <v>183.917</v>
      </c>
      <c r="R15" s="580">
        <v>409.84199999999998</v>
      </c>
      <c r="S15" s="580">
        <v>24.978300000000001</v>
      </c>
      <c r="T15" s="580">
        <v>6.2366700000000002</v>
      </c>
      <c r="U15" s="580">
        <v>20.940799999999999</v>
      </c>
      <c r="V15" s="135"/>
    </row>
    <row r="16" spans="1:22" ht="11.45" customHeight="1">
      <c r="A16" s="12">
        <v>2003</v>
      </c>
      <c r="B16" s="19">
        <v>363.50900000000001</v>
      </c>
      <c r="C16" s="19">
        <v>27.9542</v>
      </c>
      <c r="D16" s="19">
        <v>13.82</v>
      </c>
      <c r="E16" s="19">
        <v>26.7333</v>
      </c>
      <c r="F16" s="19">
        <v>28.852499999999999</v>
      </c>
      <c r="G16" s="19">
        <v>63.4437</v>
      </c>
      <c r="H16" s="19">
        <v>149.333</v>
      </c>
      <c r="I16" s="19">
        <v>138.89599999999999</v>
      </c>
      <c r="J16" s="19">
        <v>199.46100000000001</v>
      </c>
      <c r="K16" s="19">
        <v>248.75399999999999</v>
      </c>
      <c r="L16" s="19">
        <v>165.548</v>
      </c>
      <c r="M16" s="19">
        <v>131.571</v>
      </c>
      <c r="N16" s="19">
        <v>152.44999999999999</v>
      </c>
      <c r="O16" s="19">
        <v>410.37299999999999</v>
      </c>
      <c r="P16" s="19">
        <v>425.53800000000001</v>
      </c>
      <c r="Q16" s="19">
        <v>214.65600000000001</v>
      </c>
      <c r="R16" s="19">
        <v>500.28300000000002</v>
      </c>
      <c r="S16" s="19">
        <v>27.1768</v>
      </c>
      <c r="T16" s="19">
        <v>6.9257099999999996</v>
      </c>
      <c r="U16" s="19">
        <v>21.4998</v>
      </c>
      <c r="V16" s="135"/>
    </row>
    <row r="17" spans="1:22" ht="11.45" customHeight="1">
      <c r="A17" s="552">
        <v>2004</v>
      </c>
      <c r="B17" s="580">
        <v>409.21199999999999</v>
      </c>
      <c r="C17" s="580">
        <v>56.729900000000001</v>
      </c>
      <c r="D17" s="580">
        <v>16.39</v>
      </c>
      <c r="E17" s="580">
        <v>33.455800000000004</v>
      </c>
      <c r="F17" s="580">
        <v>38.297499999999999</v>
      </c>
      <c r="G17" s="580">
        <v>62.006</v>
      </c>
      <c r="H17" s="580">
        <v>186.31200000000001</v>
      </c>
      <c r="I17" s="580">
        <v>175.292</v>
      </c>
      <c r="J17" s="580">
        <v>245.78299999999999</v>
      </c>
      <c r="K17" s="580">
        <v>269.95499999999998</v>
      </c>
      <c r="L17" s="580">
        <v>167.05</v>
      </c>
      <c r="M17" s="580">
        <v>133.45599999999999</v>
      </c>
      <c r="N17" s="580">
        <v>139.5</v>
      </c>
      <c r="O17" s="580">
        <v>434.72300000000001</v>
      </c>
      <c r="P17" s="580">
        <v>448.73899999999998</v>
      </c>
      <c r="Q17" s="580">
        <v>257.20499999999998</v>
      </c>
      <c r="R17" s="580">
        <v>590.452</v>
      </c>
      <c r="S17" s="580">
        <v>30.459700000000002</v>
      </c>
      <c r="T17" s="580">
        <v>7.5450999999999997</v>
      </c>
      <c r="U17" s="580">
        <v>20.571100000000001</v>
      </c>
      <c r="V17" s="135"/>
    </row>
    <row r="18" spans="1:22" ht="11.45" customHeight="1">
      <c r="A18" s="12">
        <v>2005</v>
      </c>
      <c r="B18" s="19">
        <v>444.84300000000002</v>
      </c>
      <c r="C18" s="19">
        <v>51.022399999999998</v>
      </c>
      <c r="D18" s="19">
        <v>28.11</v>
      </c>
      <c r="E18" s="19">
        <v>49.201700000000002</v>
      </c>
      <c r="F18" s="19">
        <v>54.434199999999997</v>
      </c>
      <c r="G18" s="19">
        <v>55.168300000000002</v>
      </c>
      <c r="H18" s="19">
        <v>201.47900000000001</v>
      </c>
      <c r="I18" s="19">
        <v>219.01900000000001</v>
      </c>
      <c r="J18" s="19">
        <v>287.81099999999998</v>
      </c>
      <c r="K18" s="19">
        <v>308.45100000000002</v>
      </c>
      <c r="L18" s="19">
        <v>163.43100000000001</v>
      </c>
      <c r="M18" s="19">
        <v>129.886</v>
      </c>
      <c r="N18" s="19">
        <v>121.4</v>
      </c>
      <c r="O18" s="19">
        <v>367.68700000000001</v>
      </c>
      <c r="P18" s="19">
        <v>390.75200000000001</v>
      </c>
      <c r="Q18" s="19">
        <v>205.762</v>
      </c>
      <c r="R18" s="19">
        <v>495.74700000000001</v>
      </c>
      <c r="S18" s="19">
        <v>30.2624</v>
      </c>
      <c r="T18" s="19">
        <v>10.0702</v>
      </c>
      <c r="U18" s="19">
        <v>21.0684</v>
      </c>
      <c r="V18" s="135"/>
    </row>
    <row r="19" spans="1:22" ht="11.45" customHeight="1">
      <c r="A19" s="552">
        <v>2006</v>
      </c>
      <c r="B19" s="580">
        <v>604.33600000000001</v>
      </c>
      <c r="C19" s="580">
        <v>52.595999999999997</v>
      </c>
      <c r="D19" s="580">
        <v>33.450000000000003</v>
      </c>
      <c r="E19" s="580">
        <v>61.431699999999999</v>
      </c>
      <c r="F19" s="580">
        <v>65.39</v>
      </c>
      <c r="G19" s="580">
        <v>58.052500000000002</v>
      </c>
      <c r="H19" s="580">
        <v>201.63300000000001</v>
      </c>
      <c r="I19" s="580">
        <v>222.95400000000001</v>
      </c>
      <c r="J19" s="580">
        <v>303.51499999999999</v>
      </c>
      <c r="K19" s="580">
        <v>345.83100000000002</v>
      </c>
      <c r="L19" s="580">
        <v>169.399</v>
      </c>
      <c r="M19" s="580">
        <v>168.566</v>
      </c>
      <c r="N19" s="580">
        <v>153.30000000000001</v>
      </c>
      <c r="O19" s="580">
        <v>416.81400000000002</v>
      </c>
      <c r="P19" s="580">
        <v>425.46100000000001</v>
      </c>
      <c r="Q19" s="580">
        <v>193.97499999999999</v>
      </c>
      <c r="R19" s="580">
        <v>551.49599999999998</v>
      </c>
      <c r="S19" s="580">
        <v>30.639700000000001</v>
      </c>
      <c r="T19" s="580">
        <v>14.788500000000001</v>
      </c>
      <c r="U19" s="580">
        <v>22.119499999999999</v>
      </c>
      <c r="V19" s="135"/>
    </row>
    <row r="20" spans="1:22" ht="11.45" customHeight="1">
      <c r="A20" s="12">
        <v>2007</v>
      </c>
      <c r="B20" s="19">
        <v>696.72</v>
      </c>
      <c r="C20" s="19">
        <v>70.428299999999993</v>
      </c>
      <c r="D20" s="19">
        <v>36.630000000000003</v>
      </c>
      <c r="E20" s="19">
        <v>68.368300000000005</v>
      </c>
      <c r="F20" s="19">
        <v>72.712500000000006</v>
      </c>
      <c r="G20" s="19">
        <v>63.283700000000003</v>
      </c>
      <c r="H20" s="19">
        <v>339.05399999999997</v>
      </c>
      <c r="I20" s="19">
        <v>309.39999999999998</v>
      </c>
      <c r="J20" s="19">
        <v>332.39299999999997</v>
      </c>
      <c r="K20" s="19">
        <v>375.70800000000003</v>
      </c>
      <c r="L20" s="19">
        <v>243.411</v>
      </c>
      <c r="M20" s="19">
        <v>226.88499999999999</v>
      </c>
      <c r="N20" s="19">
        <v>209.6</v>
      </c>
      <c r="O20" s="19">
        <v>719.12199999999996</v>
      </c>
      <c r="P20" s="19">
        <v>694.65099999999995</v>
      </c>
      <c r="Q20" s="19">
        <v>263.673</v>
      </c>
      <c r="R20" s="19">
        <v>799.74199999999996</v>
      </c>
      <c r="S20" s="19">
        <v>33.284399999999998</v>
      </c>
      <c r="T20" s="19">
        <v>9.9566400000000002</v>
      </c>
      <c r="U20" s="19">
        <v>20.763200000000001</v>
      </c>
      <c r="V20" s="135"/>
    </row>
    <row r="21" spans="1:22" ht="11.45" customHeight="1">
      <c r="A21" s="552">
        <v>2008</v>
      </c>
      <c r="B21" s="580">
        <v>871.70699999999999</v>
      </c>
      <c r="C21" s="580">
        <v>136.18299999999999</v>
      </c>
      <c r="D21" s="580">
        <v>61.565199999999997</v>
      </c>
      <c r="E21" s="580">
        <v>93.776700000000005</v>
      </c>
      <c r="F21" s="580">
        <v>97.66</v>
      </c>
      <c r="G21" s="580">
        <v>71.399900000000002</v>
      </c>
      <c r="H21" s="580">
        <v>879.38099999999997</v>
      </c>
      <c r="I21" s="580">
        <v>492.72500000000002</v>
      </c>
      <c r="J21" s="580">
        <v>700.2</v>
      </c>
      <c r="K21" s="580">
        <v>597.11800000000005</v>
      </c>
      <c r="L21" s="580">
        <v>383.31099999999998</v>
      </c>
      <c r="M21" s="580">
        <v>286.952</v>
      </c>
      <c r="N21" s="580">
        <v>289.39999999999998</v>
      </c>
      <c r="O21" s="580">
        <v>862.91800000000001</v>
      </c>
      <c r="P21" s="580">
        <v>924.9</v>
      </c>
      <c r="Q21" s="580">
        <v>367.93799999999999</v>
      </c>
      <c r="R21" s="580">
        <v>1133.79</v>
      </c>
      <c r="S21" s="580">
        <v>30.816099999999999</v>
      </c>
      <c r="T21" s="580">
        <v>12.452199999999999</v>
      </c>
      <c r="U21" s="580">
        <v>21.323399999999999</v>
      </c>
      <c r="V21" s="135"/>
    </row>
    <row r="22" spans="1:22" s="25" customFormat="1" ht="11.45" customHeight="1">
      <c r="A22" s="466">
        <v>2009</v>
      </c>
      <c r="B22" s="408">
        <v>972.96600000000001</v>
      </c>
      <c r="C22" s="408">
        <v>76.975899999999996</v>
      </c>
      <c r="D22" s="408">
        <v>79.993899999999996</v>
      </c>
      <c r="E22" s="408">
        <v>61.754899999999999</v>
      </c>
      <c r="F22" s="408">
        <v>61.860599999999998</v>
      </c>
      <c r="G22" s="408">
        <v>62.752000000000002</v>
      </c>
      <c r="H22" s="408">
        <v>257.41699999999997</v>
      </c>
      <c r="I22" s="408">
        <v>249.57400000000001</v>
      </c>
      <c r="J22" s="408">
        <v>589.37599999999998</v>
      </c>
      <c r="K22" s="408">
        <v>582.69000000000005</v>
      </c>
      <c r="L22" s="408">
        <v>246.96899999999999</v>
      </c>
      <c r="M22" s="408">
        <v>190.11199999999999</v>
      </c>
      <c r="N22" s="408">
        <v>200.2</v>
      </c>
      <c r="O22" s="408">
        <v>644.06799999999998</v>
      </c>
      <c r="P22" s="408">
        <v>634.09199999999998</v>
      </c>
      <c r="Q22" s="408">
        <v>359.27</v>
      </c>
      <c r="R22" s="408">
        <v>787.02</v>
      </c>
      <c r="S22" s="408">
        <v>26.014600000000002</v>
      </c>
      <c r="T22" s="408">
        <v>18.150400000000001</v>
      </c>
      <c r="U22" s="408">
        <v>24.335699999999999</v>
      </c>
      <c r="V22" s="413"/>
    </row>
    <row r="23" spans="1:22" ht="11.45" customHeight="1">
      <c r="A23" s="552">
        <v>2010</v>
      </c>
      <c r="B23" s="537">
        <v>1224.6600000000001</v>
      </c>
      <c r="C23" s="537">
        <v>106.035</v>
      </c>
      <c r="D23" s="537">
        <v>146.72</v>
      </c>
      <c r="E23" s="537">
        <v>78.057900000000004</v>
      </c>
      <c r="F23" s="537">
        <v>79.631500000000003</v>
      </c>
      <c r="G23" s="537">
        <v>103.545</v>
      </c>
      <c r="H23" s="537">
        <v>381.89</v>
      </c>
      <c r="I23" s="537">
        <v>288.59199999999998</v>
      </c>
      <c r="J23" s="537">
        <v>520.55600000000004</v>
      </c>
      <c r="K23" s="537">
        <v>593.779</v>
      </c>
      <c r="L23" s="537">
        <v>241.82900000000001</v>
      </c>
      <c r="M23" s="537">
        <v>194.5</v>
      </c>
      <c r="N23" s="537">
        <v>233.5</v>
      </c>
      <c r="O23" s="537">
        <v>859.94200000000001</v>
      </c>
      <c r="P23" s="537">
        <v>819.53099999999995</v>
      </c>
      <c r="Q23" s="537">
        <v>331.31700000000001</v>
      </c>
      <c r="R23" s="537">
        <v>924.82799999999997</v>
      </c>
      <c r="S23" s="537">
        <v>25.712800000000001</v>
      </c>
      <c r="T23" s="537">
        <v>20.890899999999998</v>
      </c>
      <c r="U23" s="537">
        <v>31.051200000000001</v>
      </c>
      <c r="V23" s="307"/>
    </row>
    <row r="24" spans="1:22" s="317" customFormat="1" ht="11.45" customHeight="1">
      <c r="A24" s="449">
        <v>2011</v>
      </c>
      <c r="B24" s="43">
        <v>1569.21</v>
      </c>
      <c r="C24" s="43">
        <v>130.12299999999999</v>
      </c>
      <c r="D24" s="43">
        <v>167.79</v>
      </c>
      <c r="E24" s="43">
        <v>106.027</v>
      </c>
      <c r="F24" s="43">
        <v>110.952</v>
      </c>
      <c r="G24" s="43">
        <v>154.608</v>
      </c>
      <c r="H24" s="43">
        <v>538.26</v>
      </c>
      <c r="I24" s="43">
        <v>420.96</v>
      </c>
      <c r="J24" s="43">
        <v>551.71100000000001</v>
      </c>
      <c r="K24" s="43">
        <v>593.49199999999996</v>
      </c>
      <c r="L24" s="43">
        <v>317.43599999999998</v>
      </c>
      <c r="M24" s="43">
        <v>279.98899999999998</v>
      </c>
      <c r="N24" s="43">
        <v>304.8</v>
      </c>
      <c r="O24" s="43">
        <v>1076.5</v>
      </c>
      <c r="P24" s="43">
        <v>1068.3699999999999</v>
      </c>
      <c r="Q24" s="43">
        <v>378.86099999999999</v>
      </c>
      <c r="R24" s="43">
        <v>1215.82</v>
      </c>
      <c r="S24" s="43">
        <v>26.665199999999999</v>
      </c>
      <c r="T24" s="43">
        <v>26.235600000000002</v>
      </c>
      <c r="U24" s="43">
        <v>37.572499999999998</v>
      </c>
      <c r="V24" s="469"/>
    </row>
    <row r="25" spans="1:22" s="317" customFormat="1" ht="11.45" customHeight="1">
      <c r="A25" s="552">
        <v>2012</v>
      </c>
      <c r="B25" s="537">
        <v>1669.52</v>
      </c>
      <c r="C25" s="537">
        <v>103.247</v>
      </c>
      <c r="D25" s="537">
        <v>128.52600000000001</v>
      </c>
      <c r="E25" s="537">
        <v>108.919</v>
      </c>
      <c r="F25" s="537">
        <v>111.96</v>
      </c>
      <c r="G25" s="537">
        <v>89.241</v>
      </c>
      <c r="H25" s="537">
        <v>462</v>
      </c>
      <c r="I25" s="537">
        <v>405.40199999999999</v>
      </c>
      <c r="J25" s="537">
        <v>580.23599999999999</v>
      </c>
      <c r="K25" s="537">
        <v>683.029</v>
      </c>
      <c r="L25" s="537">
        <v>287.19799999999998</v>
      </c>
      <c r="M25" s="537">
        <v>276.12200000000001</v>
      </c>
      <c r="N25" s="537">
        <v>248.5</v>
      </c>
      <c r="O25" s="537">
        <v>939.83399999999995</v>
      </c>
      <c r="P25" s="537">
        <v>960.327</v>
      </c>
      <c r="Q25" s="537">
        <v>473.28399999999999</v>
      </c>
      <c r="R25" s="537">
        <v>1151.75</v>
      </c>
      <c r="S25" s="537">
        <v>26.360900000000001</v>
      </c>
      <c r="T25" s="537">
        <v>21.374500000000001</v>
      </c>
      <c r="U25" s="537">
        <v>28.895399999999999</v>
      </c>
      <c r="V25" s="469"/>
    </row>
    <row r="26" spans="1:22" s="315" customFormat="1" ht="11.45" customHeight="1">
      <c r="A26" s="449">
        <v>2013</v>
      </c>
      <c r="B26" s="43">
        <v>1411.46</v>
      </c>
      <c r="C26" s="43">
        <v>90.6023</v>
      </c>
      <c r="D26" s="43">
        <v>135.36099999999999</v>
      </c>
      <c r="E26" s="43">
        <v>105.43</v>
      </c>
      <c r="F26" s="43">
        <v>108.84399999999999</v>
      </c>
      <c r="G26" s="43">
        <v>90.400599999999997</v>
      </c>
      <c r="H26" s="43">
        <v>382.06299999999999</v>
      </c>
      <c r="I26" s="43">
        <v>340.12299999999999</v>
      </c>
      <c r="J26" s="43">
        <v>518.81200000000001</v>
      </c>
      <c r="K26" s="43">
        <v>658.726</v>
      </c>
      <c r="L26" s="43">
        <v>326.16699999999997</v>
      </c>
      <c r="M26" s="43">
        <v>265.75099999999998</v>
      </c>
      <c r="N26" s="43">
        <v>314</v>
      </c>
      <c r="O26" s="43">
        <v>764.197</v>
      </c>
      <c r="P26" s="43">
        <v>743.37900000000002</v>
      </c>
      <c r="Q26" s="43">
        <v>477.29899999999998</v>
      </c>
      <c r="R26" s="43">
        <v>1011.11</v>
      </c>
      <c r="S26" s="43">
        <v>26.011800000000001</v>
      </c>
      <c r="T26" s="43">
        <v>17.708500000000001</v>
      </c>
      <c r="U26" s="43">
        <v>21.214500000000001</v>
      </c>
      <c r="V26" s="469"/>
    </row>
    <row r="27" spans="1:22" s="353" customFormat="1" ht="11.45" customHeight="1">
      <c r="A27" s="1340">
        <v>2014</v>
      </c>
      <c r="B27" s="542">
        <v>1265.58</v>
      </c>
      <c r="C27" s="542">
        <v>75.139300000000006</v>
      </c>
      <c r="D27" s="542">
        <v>96.841499999999996</v>
      </c>
      <c r="E27" s="542">
        <v>96.664100000000005</v>
      </c>
      <c r="F27" s="542">
        <v>98.943299999999994</v>
      </c>
      <c r="G27" s="542">
        <v>83.096699999999998</v>
      </c>
      <c r="H27" s="542">
        <v>388.34399999999999</v>
      </c>
      <c r="I27" s="542">
        <v>316.20999999999998</v>
      </c>
      <c r="J27" s="542" t="s">
        <v>836</v>
      </c>
      <c r="K27" s="542">
        <v>490.76400000000001</v>
      </c>
      <c r="L27" s="542">
        <v>291.87299999999999</v>
      </c>
      <c r="M27" s="542">
        <v>242.49600000000001</v>
      </c>
      <c r="N27" s="542">
        <v>324.02499999999998</v>
      </c>
      <c r="O27" s="542">
        <v>739.40800000000002</v>
      </c>
      <c r="P27" s="542">
        <v>743.99199999999996</v>
      </c>
      <c r="Q27" s="542">
        <v>466.96600000000001</v>
      </c>
      <c r="R27" s="542">
        <v>812.71</v>
      </c>
      <c r="S27" s="542">
        <v>27.394400000000001</v>
      </c>
      <c r="T27" s="542">
        <v>17.1264</v>
      </c>
      <c r="U27" s="542">
        <v>24.865400000000001</v>
      </c>
      <c r="V27" s="1024"/>
    </row>
    <row r="28" spans="1:22" s="315" customFormat="1" ht="11.45" hidden="1" customHeight="1">
      <c r="A28" s="449" t="s">
        <v>1215</v>
      </c>
      <c r="B28" s="43">
        <v>1244.27</v>
      </c>
      <c r="C28" s="43">
        <v>87.439300000000003</v>
      </c>
      <c r="D28" s="43">
        <v>128.119</v>
      </c>
      <c r="E28" s="43">
        <v>104.18899999999999</v>
      </c>
      <c r="F28" s="43">
        <v>107.57</v>
      </c>
      <c r="G28" s="43">
        <v>90.9636</v>
      </c>
      <c r="H28" s="43">
        <v>322</v>
      </c>
      <c r="I28" s="43">
        <v>352.6</v>
      </c>
      <c r="J28" s="43">
        <v>441.04300000000001</v>
      </c>
      <c r="K28" s="43">
        <v>539.23500000000001</v>
      </c>
      <c r="L28" s="43" t="s">
        <v>836</v>
      </c>
      <c r="M28" s="43">
        <v>275.53399999999999</v>
      </c>
      <c r="N28" s="43">
        <v>330.7</v>
      </c>
      <c r="O28" s="43">
        <v>769.33699999999999</v>
      </c>
      <c r="P28" s="43">
        <v>763.24</v>
      </c>
      <c r="Q28" s="43">
        <v>476.10199999999998</v>
      </c>
      <c r="R28" s="43">
        <v>831.35199999999998</v>
      </c>
      <c r="S28" s="43">
        <v>27.393599999999999</v>
      </c>
      <c r="T28" s="43">
        <v>15.707599999999999</v>
      </c>
      <c r="U28" s="43">
        <v>21.578099999999999</v>
      </c>
      <c r="V28" s="469"/>
    </row>
    <row r="29" spans="1:22" s="315" customFormat="1" ht="11.45" hidden="1" customHeight="1">
      <c r="A29" s="552" t="s">
        <v>1216</v>
      </c>
      <c r="B29" s="537">
        <v>1299.58</v>
      </c>
      <c r="C29" s="537">
        <v>81.7393</v>
      </c>
      <c r="D29" s="537">
        <v>121.37</v>
      </c>
      <c r="E29" s="537">
        <v>104.94199999999999</v>
      </c>
      <c r="F29" s="537">
        <v>108.812</v>
      </c>
      <c r="G29" s="537">
        <v>94.05</v>
      </c>
      <c r="H29" s="537">
        <v>387.5</v>
      </c>
      <c r="I29" s="537">
        <v>344.125</v>
      </c>
      <c r="J29" s="537">
        <v>447</v>
      </c>
      <c r="K29" s="537">
        <v>527.82299999999998</v>
      </c>
      <c r="L29" s="537" t="s">
        <v>836</v>
      </c>
      <c r="M29" s="537">
        <v>292.267</v>
      </c>
      <c r="N29" s="537">
        <v>332.3</v>
      </c>
      <c r="O29" s="537">
        <v>811.20500000000004</v>
      </c>
      <c r="P29" s="537">
        <v>755.7</v>
      </c>
      <c r="Q29" s="537">
        <v>496.79899999999998</v>
      </c>
      <c r="R29" s="537">
        <v>873.65599999999995</v>
      </c>
      <c r="S29" s="537">
        <v>27.5045</v>
      </c>
      <c r="T29" s="537">
        <v>16.885300000000001</v>
      </c>
      <c r="U29" s="537">
        <v>22.596299999999999</v>
      </c>
      <c r="V29" s="469"/>
    </row>
    <row r="30" spans="1:22" s="315" customFormat="1" ht="11.45" hidden="1" customHeight="1">
      <c r="A30" s="884" t="s">
        <v>1208</v>
      </c>
      <c r="B30" s="483">
        <v>1336.08</v>
      </c>
      <c r="C30" s="483">
        <v>78.578599999999994</v>
      </c>
      <c r="D30" s="483">
        <v>111.833</v>
      </c>
      <c r="E30" s="483">
        <v>104.15</v>
      </c>
      <c r="F30" s="483">
        <v>107.40600000000001</v>
      </c>
      <c r="G30" s="483">
        <v>96.947599999999994</v>
      </c>
      <c r="H30" s="483">
        <v>388.125</v>
      </c>
      <c r="I30" s="483">
        <v>315.75</v>
      </c>
      <c r="J30" s="483">
        <v>434.14299999999997</v>
      </c>
      <c r="K30" s="483">
        <v>501.971</v>
      </c>
      <c r="L30" s="483" t="s">
        <v>836</v>
      </c>
      <c r="M30" s="483">
        <v>323.55399999999997</v>
      </c>
      <c r="N30" s="483">
        <v>330.2</v>
      </c>
      <c r="O30" s="483">
        <v>860.51900000000001</v>
      </c>
      <c r="P30" s="483">
        <v>767.45</v>
      </c>
      <c r="Q30" s="483">
        <v>522.00099999999998</v>
      </c>
      <c r="R30" s="483">
        <v>928.54399999999998</v>
      </c>
      <c r="S30" s="483">
        <v>27.642099999999999</v>
      </c>
      <c r="T30" s="483">
        <v>17.888100000000001</v>
      </c>
      <c r="U30" s="483">
        <v>23.011900000000001</v>
      </c>
      <c r="V30" s="469"/>
    </row>
    <row r="31" spans="1:22" s="315" customFormat="1" ht="11.45" hidden="1" customHeight="1">
      <c r="A31" s="1063" t="s">
        <v>1217</v>
      </c>
      <c r="B31" s="531">
        <v>1298.45</v>
      </c>
      <c r="C31" s="531">
        <v>78.0214</v>
      </c>
      <c r="D31" s="531">
        <v>114.581</v>
      </c>
      <c r="E31" s="531">
        <v>104.777</v>
      </c>
      <c r="F31" s="531">
        <v>107.875</v>
      </c>
      <c r="G31" s="531">
        <v>94.202500000000001</v>
      </c>
      <c r="H31" s="531">
        <v>371.25</v>
      </c>
      <c r="I31" s="531">
        <v>291.125</v>
      </c>
      <c r="J31" s="531">
        <v>409.94099999999997</v>
      </c>
      <c r="K31" s="531">
        <v>489.66300000000001</v>
      </c>
      <c r="L31" s="531" t="s">
        <v>836</v>
      </c>
      <c r="M31" s="531">
        <v>324.93200000000002</v>
      </c>
      <c r="N31" s="531">
        <v>332.5</v>
      </c>
      <c r="O31" s="531">
        <v>825.32500000000005</v>
      </c>
      <c r="P31" s="531">
        <v>783.51</v>
      </c>
      <c r="Q31" s="531">
        <v>547.18799999999999</v>
      </c>
      <c r="R31" s="531">
        <v>934.09699999999998</v>
      </c>
      <c r="S31" s="531">
        <v>27.832899999999999</v>
      </c>
      <c r="T31" s="531">
        <v>18.2148</v>
      </c>
      <c r="U31" s="531">
        <v>24.65</v>
      </c>
      <c r="V31" s="469"/>
    </row>
    <row r="32" spans="1:22" s="315" customFormat="1" ht="11.45" hidden="1" customHeight="1">
      <c r="A32" s="884" t="s">
        <v>1218</v>
      </c>
      <c r="B32" s="483">
        <v>1288.74</v>
      </c>
      <c r="C32" s="483">
        <v>78.953599999999994</v>
      </c>
      <c r="D32" s="483">
        <v>100.56</v>
      </c>
      <c r="E32" s="483">
        <v>105.515</v>
      </c>
      <c r="F32" s="483">
        <v>109.676</v>
      </c>
      <c r="G32" s="483">
        <v>92.712500000000006</v>
      </c>
      <c r="H32" s="483">
        <v>365</v>
      </c>
      <c r="I32" s="483">
        <v>299.10000000000002</v>
      </c>
      <c r="J32" s="483">
        <v>403.59100000000001</v>
      </c>
      <c r="K32" s="483">
        <v>481.29500000000002</v>
      </c>
      <c r="L32" s="483" t="s">
        <v>836</v>
      </c>
      <c r="M32" s="483">
        <v>334.74799999999999</v>
      </c>
      <c r="N32" s="483">
        <v>348.2</v>
      </c>
      <c r="O32" s="483">
        <v>800.28700000000003</v>
      </c>
      <c r="P32" s="483">
        <v>799.89</v>
      </c>
      <c r="Q32" s="483">
        <v>546.03300000000002</v>
      </c>
      <c r="R32" s="483">
        <v>893.53200000000004</v>
      </c>
      <c r="S32" s="483">
        <v>28.010100000000001</v>
      </c>
      <c r="T32" s="483">
        <v>18.240500000000001</v>
      </c>
      <c r="U32" s="483">
        <v>25.1586</v>
      </c>
      <c r="V32" s="469"/>
    </row>
    <row r="33" spans="1:24" s="315" customFormat="1" ht="11.45" hidden="1" customHeight="1">
      <c r="A33" s="1101" t="s">
        <v>1209</v>
      </c>
      <c r="B33" s="531">
        <v>1279.0999999999999</v>
      </c>
      <c r="C33" s="531">
        <v>76.585700000000003</v>
      </c>
      <c r="D33" s="531">
        <v>92.742900000000006</v>
      </c>
      <c r="E33" s="531">
        <v>108.008</v>
      </c>
      <c r="F33" s="531">
        <v>111.86799999999999</v>
      </c>
      <c r="G33" s="531">
        <v>90.897599999999997</v>
      </c>
      <c r="H33" s="531">
        <v>371.25</v>
      </c>
      <c r="I33" s="531">
        <v>297.875</v>
      </c>
      <c r="J33" s="531">
        <v>414.66699999999997</v>
      </c>
      <c r="K33" s="531">
        <v>477.81</v>
      </c>
      <c r="L33" s="531" t="s">
        <v>836</v>
      </c>
      <c r="M33" s="531">
        <v>306.53399999999999</v>
      </c>
      <c r="N33" s="531">
        <v>334.4</v>
      </c>
      <c r="O33" s="531">
        <v>758.47199999999998</v>
      </c>
      <c r="P33" s="531">
        <v>777.01</v>
      </c>
      <c r="Q33" s="531">
        <v>528.00300000000004</v>
      </c>
      <c r="R33" s="531">
        <v>871.57</v>
      </c>
      <c r="S33" s="531">
        <v>28.109500000000001</v>
      </c>
      <c r="T33" s="531">
        <v>18.241900000000001</v>
      </c>
      <c r="U33" s="531">
        <v>25.946200000000001</v>
      </c>
      <c r="V33" s="469"/>
    </row>
    <row r="34" spans="1:24" s="315" customFormat="1" ht="11.45" hidden="1" customHeight="1">
      <c r="A34" s="884" t="s">
        <v>1211</v>
      </c>
      <c r="B34" s="483">
        <v>1310.5899999999999</v>
      </c>
      <c r="C34" s="483">
        <v>73.660700000000006</v>
      </c>
      <c r="D34" s="483">
        <v>95.9739</v>
      </c>
      <c r="E34" s="483">
        <v>105.705</v>
      </c>
      <c r="F34" s="483">
        <v>106.983</v>
      </c>
      <c r="G34" s="483">
        <v>83.837000000000003</v>
      </c>
      <c r="H34" s="483">
        <v>411.5</v>
      </c>
      <c r="I34" s="483">
        <v>301.7</v>
      </c>
      <c r="J34" s="483">
        <v>428</v>
      </c>
      <c r="K34" s="483">
        <v>479.64800000000002</v>
      </c>
      <c r="L34" s="483" t="s">
        <v>836</v>
      </c>
      <c r="M34" s="483">
        <v>280.36</v>
      </c>
      <c r="N34" s="483">
        <v>336.9</v>
      </c>
      <c r="O34" s="483">
        <v>752.88499999999999</v>
      </c>
      <c r="P34" s="483">
        <v>774.73</v>
      </c>
      <c r="Q34" s="483">
        <v>463.23399999999998</v>
      </c>
      <c r="R34" s="483">
        <v>813.85599999999999</v>
      </c>
      <c r="S34" s="483">
        <v>28.387699999999999</v>
      </c>
      <c r="T34" s="483">
        <v>18.730499999999999</v>
      </c>
      <c r="U34" s="483">
        <v>25.58</v>
      </c>
      <c r="V34" s="469"/>
    </row>
    <row r="35" spans="1:24" s="315" customFormat="1" ht="11.45" hidden="1" customHeight="1">
      <c r="A35" s="1159" t="s">
        <v>1212</v>
      </c>
      <c r="B35" s="531">
        <v>1295.1300000000001</v>
      </c>
      <c r="C35" s="531">
        <v>73.8643</v>
      </c>
      <c r="D35" s="531">
        <v>92.633300000000006</v>
      </c>
      <c r="E35" s="531">
        <v>101.854</v>
      </c>
      <c r="F35" s="531">
        <v>101.922</v>
      </c>
      <c r="G35" s="531">
        <v>74</v>
      </c>
      <c r="H35" s="531">
        <v>417.5</v>
      </c>
      <c r="I35" s="531">
        <v>321.875</v>
      </c>
      <c r="J35" s="531" t="s">
        <v>836</v>
      </c>
      <c r="K35" s="531">
        <v>480.077</v>
      </c>
      <c r="L35" s="531" t="s">
        <v>836</v>
      </c>
      <c r="M35" s="531">
        <v>263.40899999999999</v>
      </c>
      <c r="N35" s="531">
        <v>349.8</v>
      </c>
      <c r="O35" s="531">
        <v>677.86199999999997</v>
      </c>
      <c r="P35" s="531">
        <v>753.99</v>
      </c>
      <c r="Q35" s="531">
        <v>432.98500000000001</v>
      </c>
      <c r="R35" s="531">
        <v>745.84400000000005</v>
      </c>
      <c r="S35" s="531">
        <v>27.773399999999999</v>
      </c>
      <c r="T35" s="531">
        <v>17.717600000000001</v>
      </c>
      <c r="U35" s="531">
        <v>26.57</v>
      </c>
      <c r="V35" s="469"/>
    </row>
    <row r="36" spans="1:24" s="315" customFormat="1" ht="11.45" hidden="1" customHeight="1">
      <c r="A36" s="884" t="s">
        <v>1206</v>
      </c>
      <c r="B36" s="483">
        <v>1236.55</v>
      </c>
      <c r="C36" s="483">
        <v>70.650000000000006</v>
      </c>
      <c r="D36" s="483">
        <v>82.268199999999993</v>
      </c>
      <c r="E36" s="483">
        <v>96.988200000000006</v>
      </c>
      <c r="F36" s="483">
        <v>97.336399999999998</v>
      </c>
      <c r="G36" s="483">
        <v>73.38</v>
      </c>
      <c r="H36" s="483">
        <v>410</v>
      </c>
      <c r="I36" s="483">
        <v>325.625</v>
      </c>
      <c r="J36" s="483" t="s">
        <v>836</v>
      </c>
      <c r="K36" s="483">
        <v>484.238</v>
      </c>
      <c r="L36" s="483" t="s">
        <v>836</v>
      </c>
      <c r="M36" s="483">
        <v>243.72</v>
      </c>
      <c r="N36" s="483">
        <v>328.6</v>
      </c>
      <c r="O36" s="483">
        <v>656.98299999999995</v>
      </c>
      <c r="P36" s="483">
        <v>689.82</v>
      </c>
      <c r="Q36" s="483">
        <v>368.85</v>
      </c>
      <c r="R36" s="483">
        <v>711.73500000000001</v>
      </c>
      <c r="S36" s="483">
        <v>27.0992</v>
      </c>
      <c r="T36" s="483">
        <v>16.5443</v>
      </c>
      <c r="U36" s="483">
        <v>26.69</v>
      </c>
      <c r="V36" s="469"/>
    </row>
    <row r="37" spans="1:24" s="315" customFormat="1" ht="11.45" hidden="1" customHeight="1">
      <c r="A37" s="1192" t="s">
        <v>1213</v>
      </c>
      <c r="B37" s="531">
        <v>1222.49</v>
      </c>
      <c r="C37" s="531">
        <v>68.2607</v>
      </c>
      <c r="D37" s="531">
        <v>80.091300000000004</v>
      </c>
      <c r="E37" s="531">
        <v>86.716099999999997</v>
      </c>
      <c r="F37" s="531">
        <v>87.269599999999997</v>
      </c>
      <c r="G37" s="531">
        <v>70.34</v>
      </c>
      <c r="H37" s="531">
        <v>410</v>
      </c>
      <c r="I37" s="531">
        <v>321.125</v>
      </c>
      <c r="J37" s="531" t="s">
        <v>836</v>
      </c>
      <c r="K37" s="531">
        <v>482.97699999999998</v>
      </c>
      <c r="L37" s="531" t="s">
        <v>836</v>
      </c>
      <c r="M37" s="531">
        <v>245.38499999999999</v>
      </c>
      <c r="N37" s="531">
        <v>338</v>
      </c>
      <c r="O37" s="531">
        <v>673.08699999999999</v>
      </c>
      <c r="P37" s="531">
        <v>682.53</v>
      </c>
      <c r="Q37" s="531">
        <v>354.44099999999997</v>
      </c>
      <c r="R37" s="531">
        <v>721.38</v>
      </c>
      <c r="S37" s="531">
        <v>26.714500000000001</v>
      </c>
      <c r="T37" s="531">
        <v>16.4757</v>
      </c>
      <c r="U37" s="531">
        <v>26.61</v>
      </c>
      <c r="V37" s="469"/>
    </row>
    <row r="38" spans="1:24" s="315" customFormat="1" ht="11.45" hidden="1" customHeight="1">
      <c r="A38" s="884" t="s">
        <v>1214</v>
      </c>
      <c r="B38" s="483">
        <v>1175.33</v>
      </c>
      <c r="C38" s="483">
        <v>67.017899999999997</v>
      </c>
      <c r="D38" s="483">
        <v>73.125</v>
      </c>
      <c r="E38" s="483">
        <v>76.734499999999997</v>
      </c>
      <c r="F38" s="483">
        <v>78.438000000000002</v>
      </c>
      <c r="G38" s="483">
        <v>67.53</v>
      </c>
      <c r="H38" s="483">
        <v>405</v>
      </c>
      <c r="I38" s="483">
        <v>311.25</v>
      </c>
      <c r="J38" s="483" t="s">
        <v>836</v>
      </c>
      <c r="K38" s="483">
        <v>528.029</v>
      </c>
      <c r="L38" s="483" t="s">
        <v>836</v>
      </c>
      <c r="M38" s="483">
        <v>258.65899999999999</v>
      </c>
      <c r="N38" s="483">
        <v>307.89999999999998</v>
      </c>
      <c r="O38" s="483">
        <v>662.40300000000002</v>
      </c>
      <c r="P38" s="483">
        <v>658.84</v>
      </c>
      <c r="Q38" s="483">
        <v>379.34500000000003</v>
      </c>
      <c r="R38" s="483">
        <v>721.39800000000002</v>
      </c>
      <c r="S38" s="483">
        <v>26.2486</v>
      </c>
      <c r="T38" s="483">
        <v>15.8789</v>
      </c>
      <c r="U38" s="483">
        <v>24.6</v>
      </c>
      <c r="V38" s="469"/>
    </row>
    <row r="39" spans="1:24" s="315" customFormat="1" ht="11.45" hidden="1" customHeight="1">
      <c r="A39" s="1192" t="s">
        <v>1207</v>
      </c>
      <c r="B39" s="531">
        <v>1200.6199999999999</v>
      </c>
      <c r="C39" s="531">
        <v>66.674999999999997</v>
      </c>
      <c r="D39" s="531">
        <v>68.8</v>
      </c>
      <c r="E39" s="531">
        <v>60.3917</v>
      </c>
      <c r="F39" s="531">
        <v>62.162999999999997</v>
      </c>
      <c r="G39" s="531">
        <v>68.3</v>
      </c>
      <c r="H39" s="531">
        <v>401</v>
      </c>
      <c r="I39" s="531">
        <v>312.375</v>
      </c>
      <c r="J39" s="531" t="s">
        <v>836</v>
      </c>
      <c r="K39" s="531">
        <v>463.73700000000002</v>
      </c>
      <c r="L39" s="531" t="s">
        <v>836</v>
      </c>
      <c r="M39" s="531">
        <v>269.637</v>
      </c>
      <c r="N39" s="531">
        <v>286.3</v>
      </c>
      <c r="O39" s="531">
        <v>624.53499999999997</v>
      </c>
      <c r="P39" s="531">
        <v>628.27</v>
      </c>
      <c r="Q39" s="531">
        <v>378.78199999999998</v>
      </c>
      <c r="R39" s="531">
        <v>705.55899999999997</v>
      </c>
      <c r="S39" s="531">
        <v>26.016500000000001</v>
      </c>
      <c r="T39" s="531">
        <v>14.9923</v>
      </c>
      <c r="U39" s="531">
        <v>24.81</v>
      </c>
      <c r="V39" s="469"/>
    </row>
    <row r="40" spans="1:24" s="315" customFormat="1" ht="11.45" customHeight="1">
      <c r="A40" s="818">
        <v>2015</v>
      </c>
      <c r="B40" s="259">
        <f>SUM(B41:B52)/12</f>
        <v>1160.6633333333334</v>
      </c>
      <c r="C40" s="259">
        <f t="shared" ref="C40:M40" si="0">SUM(C41:C52)/12</f>
        <v>61.618599999999994</v>
      </c>
      <c r="D40" s="259">
        <f t="shared" si="0"/>
        <v>55.209266666666657</v>
      </c>
      <c r="E40" s="259">
        <f t="shared" si="0"/>
        <v>51.232049999999994</v>
      </c>
      <c r="F40" s="259">
        <f t="shared" si="0"/>
        <v>52.399408333333348</v>
      </c>
      <c r="G40" s="259">
        <f t="shared" si="0"/>
        <v>70.417191666666668</v>
      </c>
      <c r="H40" s="259">
        <f t="shared" si="0"/>
        <v>385</v>
      </c>
      <c r="I40" s="259">
        <f t="shared" si="0"/>
        <v>272.91941666666668</v>
      </c>
      <c r="J40" s="659" t="s">
        <v>836</v>
      </c>
      <c r="K40" s="259">
        <f t="shared" si="0"/>
        <v>469.92883333333333</v>
      </c>
      <c r="L40" s="659" t="s">
        <v>836</v>
      </c>
      <c r="M40" s="259">
        <f t="shared" si="0"/>
        <v>185.60733333333334</v>
      </c>
      <c r="N40" s="259">
        <f t="shared" ref="N40:U40" si="1">SUM(N41:N52)/12</f>
        <v>236.21666666666667</v>
      </c>
      <c r="O40" s="259">
        <f t="shared" si="1"/>
        <v>565.09</v>
      </c>
      <c r="P40" s="259">
        <f t="shared" si="1"/>
        <v>445.12608333333338</v>
      </c>
      <c r="Q40" s="259">
        <f>SUM(Q41:Q52)/12</f>
        <v>352.72174999999993</v>
      </c>
      <c r="R40" s="259">
        <f t="shared" si="1"/>
        <v>672.16466666666656</v>
      </c>
      <c r="S40" s="259">
        <f t="shared" si="1"/>
        <v>25.423941666666668</v>
      </c>
      <c r="T40" s="259">
        <f t="shared" si="1"/>
        <v>13.238658333333335</v>
      </c>
      <c r="U40" s="259">
        <f t="shared" si="1"/>
        <v>24.850825</v>
      </c>
      <c r="V40" s="469"/>
    </row>
    <row r="41" spans="1:24" s="315" customFormat="1" ht="11.45" customHeight="1">
      <c r="A41" s="1264" t="s">
        <v>1215</v>
      </c>
      <c r="B41" s="531">
        <v>1250.75</v>
      </c>
      <c r="C41" s="531">
        <v>66.535700000000006</v>
      </c>
      <c r="D41" s="531">
        <v>67.386399999999995</v>
      </c>
      <c r="E41" s="531">
        <v>46.335000000000001</v>
      </c>
      <c r="F41" s="531">
        <v>48.416800000000002</v>
      </c>
      <c r="G41" s="531">
        <v>67.349999999999994</v>
      </c>
      <c r="H41" s="531">
        <v>400</v>
      </c>
      <c r="I41" s="531">
        <v>319.2</v>
      </c>
      <c r="J41" s="531" t="s">
        <v>836</v>
      </c>
      <c r="K41" s="531">
        <v>546.59199999999998</v>
      </c>
      <c r="L41" s="531" t="s">
        <v>836</v>
      </c>
      <c r="M41" s="531">
        <v>210.608</v>
      </c>
      <c r="N41" s="531">
        <v>261.8</v>
      </c>
      <c r="O41" s="531">
        <v>641.59699999999998</v>
      </c>
      <c r="P41" s="531">
        <v>617.11199999999997</v>
      </c>
      <c r="Q41" s="531">
        <v>379.041</v>
      </c>
      <c r="R41" s="531">
        <v>707.88099999999997</v>
      </c>
      <c r="S41" s="531">
        <v>25.170200000000001</v>
      </c>
      <c r="T41" s="531">
        <v>15.0625</v>
      </c>
      <c r="U41" s="531">
        <v>25.24</v>
      </c>
      <c r="V41" s="469"/>
      <c r="X41" s="469"/>
    </row>
    <row r="42" spans="1:24" s="315" customFormat="1" ht="11.45" customHeight="1">
      <c r="A42" s="884" t="s">
        <v>1216</v>
      </c>
      <c r="B42" s="483">
        <v>1227.08</v>
      </c>
      <c r="C42" s="483">
        <v>65.785700000000006</v>
      </c>
      <c r="D42" s="483">
        <v>62.69</v>
      </c>
      <c r="E42" s="483">
        <v>56.15</v>
      </c>
      <c r="F42" s="483">
        <v>57.930500000000002</v>
      </c>
      <c r="G42" s="483">
        <v>69.842500000000001</v>
      </c>
      <c r="H42" s="483">
        <v>400</v>
      </c>
      <c r="I42" s="483">
        <v>297</v>
      </c>
      <c r="J42" s="483" t="s">
        <v>836</v>
      </c>
      <c r="K42" s="483">
        <v>501.76499999999999</v>
      </c>
      <c r="L42" s="483" t="s">
        <v>836</v>
      </c>
      <c r="M42" s="483">
        <v>201.714</v>
      </c>
      <c r="N42" s="483">
        <v>253</v>
      </c>
      <c r="O42" s="483">
        <v>634.37800000000004</v>
      </c>
      <c r="P42" s="483">
        <v>628.54300000000001</v>
      </c>
      <c r="Q42" s="483">
        <v>374.25200000000001</v>
      </c>
      <c r="R42" s="483">
        <v>697.93600000000004</v>
      </c>
      <c r="S42" s="483">
        <v>25.485399999999998</v>
      </c>
      <c r="T42" s="483">
        <v>14.5121</v>
      </c>
      <c r="U42" s="483">
        <v>24.62</v>
      </c>
      <c r="V42" s="469"/>
      <c r="X42" s="469"/>
    </row>
    <row r="43" spans="1:24" s="315" customFormat="1" ht="11.45" customHeight="1">
      <c r="A43" s="1339" t="s">
        <v>1208</v>
      </c>
      <c r="B43" s="531">
        <v>1178.6300000000001</v>
      </c>
      <c r="C43" s="531">
        <v>64.408900000000003</v>
      </c>
      <c r="D43" s="531">
        <v>56.940899999999999</v>
      </c>
      <c r="E43" s="531">
        <v>54.909100000000002</v>
      </c>
      <c r="F43" s="531">
        <v>55.791400000000003</v>
      </c>
      <c r="G43" s="531">
        <v>69.3523</v>
      </c>
      <c r="H43" s="531">
        <v>400</v>
      </c>
      <c r="I43" s="531">
        <v>271</v>
      </c>
      <c r="J43" s="531" t="s">
        <v>836</v>
      </c>
      <c r="K43" s="531">
        <v>503.84899999999999</v>
      </c>
      <c r="L43" s="531" t="s">
        <v>836</v>
      </c>
      <c r="M43" s="531">
        <v>202.679</v>
      </c>
      <c r="N43" s="531">
        <v>250.4</v>
      </c>
      <c r="O43" s="531">
        <v>607.65499999999997</v>
      </c>
      <c r="P43" s="531">
        <v>615.98599999999999</v>
      </c>
      <c r="Q43" s="531">
        <v>364.86</v>
      </c>
      <c r="R43" s="531">
        <v>683.43200000000002</v>
      </c>
      <c r="S43" s="531">
        <v>24.9069</v>
      </c>
      <c r="T43" s="531">
        <v>12.8409</v>
      </c>
      <c r="U43" s="531">
        <v>24.4</v>
      </c>
      <c r="V43" s="469"/>
      <c r="X43" s="469"/>
    </row>
    <row r="44" spans="1:24" s="315" customFormat="1" ht="11.45" customHeight="1">
      <c r="A44" s="884" t="s">
        <v>1217</v>
      </c>
      <c r="B44" s="483">
        <v>1198.93</v>
      </c>
      <c r="C44" s="483">
        <v>61.943899999999999</v>
      </c>
      <c r="D44" s="483">
        <v>51.15</v>
      </c>
      <c r="E44" s="483">
        <v>58.665500000000002</v>
      </c>
      <c r="F44" s="483">
        <v>59.389499999999998</v>
      </c>
      <c r="G44" s="483">
        <v>71.702500000000001</v>
      </c>
      <c r="H44" s="483">
        <v>380</v>
      </c>
      <c r="I44" s="483">
        <v>259</v>
      </c>
      <c r="J44" s="483" t="s">
        <v>836</v>
      </c>
      <c r="K44" s="483">
        <v>504.22399999999999</v>
      </c>
      <c r="L44" s="483" t="s">
        <v>836</v>
      </c>
      <c r="M44" s="483">
        <v>195.89599999999999</v>
      </c>
      <c r="N44" s="483">
        <v>234.3</v>
      </c>
      <c r="O44" s="483">
        <v>591.78800000000001</v>
      </c>
      <c r="P44" s="483">
        <v>604.04200000000003</v>
      </c>
      <c r="Q44" s="483">
        <v>349.71100000000001</v>
      </c>
      <c r="R44" s="483">
        <v>691.673</v>
      </c>
      <c r="S44" s="483">
        <v>24.853300000000001</v>
      </c>
      <c r="T44" s="483">
        <v>12.911</v>
      </c>
      <c r="U44" s="483">
        <v>24.39</v>
      </c>
      <c r="V44" s="469"/>
      <c r="X44" s="469"/>
    </row>
    <row r="45" spans="1:24" s="315" customFormat="1" ht="11.45" customHeight="1">
      <c r="A45" s="1339" t="s">
        <v>1218</v>
      </c>
      <c r="B45" s="531">
        <v>1198.6300000000001</v>
      </c>
      <c r="C45" s="531">
        <v>64.711500000000001</v>
      </c>
      <c r="D45" s="531">
        <v>60.2333</v>
      </c>
      <c r="E45" s="531">
        <v>63.674799999999998</v>
      </c>
      <c r="F45" s="531">
        <v>64.561400000000006</v>
      </c>
      <c r="G45" s="531">
        <v>72.863200000000006</v>
      </c>
      <c r="H45" s="531">
        <v>380</v>
      </c>
      <c r="I45" s="531">
        <v>280</v>
      </c>
      <c r="J45" s="531" t="s">
        <v>836</v>
      </c>
      <c r="K45" s="531">
        <v>444.74299999999999</v>
      </c>
      <c r="L45" s="531" t="s">
        <v>836</v>
      </c>
      <c r="M45" s="531">
        <v>193.15199999999999</v>
      </c>
      <c r="N45" s="531">
        <v>234.5</v>
      </c>
      <c r="O45" s="531">
        <v>601.39700000000005</v>
      </c>
      <c r="P45" s="531">
        <v>595.471</v>
      </c>
      <c r="Q45" s="531">
        <v>340.471</v>
      </c>
      <c r="R45" s="531">
        <v>716.49</v>
      </c>
      <c r="S45" s="531">
        <v>25.732500000000002</v>
      </c>
      <c r="T45" s="531">
        <v>12.7035</v>
      </c>
      <c r="U45" s="531">
        <v>24.72</v>
      </c>
      <c r="V45" s="469"/>
      <c r="X45" s="469"/>
    </row>
    <row r="46" spans="1:24" s="315" customFormat="1" ht="11.45" customHeight="1">
      <c r="A46" s="884" t="s">
        <v>1209</v>
      </c>
      <c r="B46" s="483">
        <v>1181.5</v>
      </c>
      <c r="C46" s="483">
        <v>63.043799999999997</v>
      </c>
      <c r="D46" s="483">
        <v>62.2864</v>
      </c>
      <c r="E46" s="483">
        <v>61.758600000000001</v>
      </c>
      <c r="F46" s="483">
        <v>62.3459</v>
      </c>
      <c r="G46" s="483">
        <v>72.3523</v>
      </c>
      <c r="H46" s="483">
        <v>380</v>
      </c>
      <c r="I46" s="483">
        <v>292</v>
      </c>
      <c r="J46" s="483" t="s">
        <v>836</v>
      </c>
      <c r="K46" s="483">
        <v>466.17599999999999</v>
      </c>
      <c r="L46" s="483" t="s">
        <v>836</v>
      </c>
      <c r="M46" s="483">
        <v>199.82300000000001</v>
      </c>
      <c r="N46" s="483">
        <v>233.4</v>
      </c>
      <c r="O46" s="483">
        <v>606.404</v>
      </c>
      <c r="P46" s="483">
        <v>593.16099999999994</v>
      </c>
      <c r="Q46" s="483">
        <v>353.90199999999999</v>
      </c>
      <c r="R46" s="483">
        <v>738.03700000000003</v>
      </c>
      <c r="S46" s="483">
        <v>25.865200000000002</v>
      </c>
      <c r="T46" s="483">
        <v>12.1136</v>
      </c>
      <c r="U46" s="483">
        <v>24.76</v>
      </c>
      <c r="V46" s="469"/>
      <c r="X46" s="469"/>
    </row>
    <row r="47" spans="1:24" s="315" customFormat="1" ht="11.45" customHeight="1">
      <c r="A47" s="1370" t="s">
        <v>1211</v>
      </c>
      <c r="B47" s="531">
        <v>1128.31</v>
      </c>
      <c r="C47" s="531">
        <v>63.353999999999999</v>
      </c>
      <c r="D47" s="531">
        <v>51.504300000000001</v>
      </c>
      <c r="E47" s="531">
        <v>56.266100000000002</v>
      </c>
      <c r="F47" s="531">
        <v>55.865699999999997</v>
      </c>
      <c r="G47" s="531">
        <v>72.347800000000007</v>
      </c>
      <c r="H47" s="531">
        <v>380</v>
      </c>
      <c r="I47" s="531">
        <v>273</v>
      </c>
      <c r="J47" s="531" t="s">
        <v>836</v>
      </c>
      <c r="K47" s="531">
        <v>460.57799999999997</v>
      </c>
      <c r="L47" s="531" t="s">
        <v>836</v>
      </c>
      <c r="M47" s="531">
        <v>199.197</v>
      </c>
      <c r="N47" s="531">
        <v>225.6</v>
      </c>
      <c r="O47" s="531">
        <v>575.68200000000002</v>
      </c>
      <c r="P47" s="531">
        <v>587.58799999999997</v>
      </c>
      <c r="Q47" s="531">
        <v>394.642</v>
      </c>
      <c r="R47" s="531">
        <v>695.78800000000001</v>
      </c>
      <c r="S47" s="531">
        <v>25.8688</v>
      </c>
      <c r="T47" s="531">
        <v>11.8786</v>
      </c>
      <c r="U47" s="531">
        <v>24.67</v>
      </c>
      <c r="V47" s="469"/>
      <c r="X47" s="469"/>
    </row>
    <row r="48" spans="1:24" s="315" customFormat="1" ht="11.45" customHeight="1">
      <c r="A48" s="884" t="s">
        <v>1212</v>
      </c>
      <c r="B48" s="483">
        <v>1117.93</v>
      </c>
      <c r="C48" s="483">
        <v>62.7562</v>
      </c>
      <c r="D48" s="483">
        <v>55.381</v>
      </c>
      <c r="E48" s="483">
        <v>47.3033</v>
      </c>
      <c r="F48" s="483">
        <v>46.994300000000003</v>
      </c>
      <c r="G48" s="483">
        <v>71.822500000000005</v>
      </c>
      <c r="H48" s="483">
        <v>380</v>
      </c>
      <c r="I48" s="483">
        <v>273</v>
      </c>
      <c r="J48" s="483" t="s">
        <v>836</v>
      </c>
      <c r="K48" s="483">
        <v>451.36</v>
      </c>
      <c r="L48" s="483" t="s">
        <v>836</v>
      </c>
      <c r="M48" s="483">
        <v>173.46899999999999</v>
      </c>
      <c r="N48" s="483">
        <v>230.2</v>
      </c>
      <c r="O48" s="483">
        <v>484.678</v>
      </c>
      <c r="P48" s="483">
        <v>538.529</v>
      </c>
      <c r="Q48" s="483">
        <v>370.40800000000002</v>
      </c>
      <c r="R48" s="483">
        <v>628.74699999999996</v>
      </c>
      <c r="S48" s="483">
        <v>25.947700000000001</v>
      </c>
      <c r="T48" s="483">
        <v>10.674799999999999</v>
      </c>
      <c r="U48" s="483">
        <v>24.5</v>
      </c>
      <c r="V48" s="469"/>
      <c r="X48" s="469"/>
    </row>
    <row r="49" spans="1:24" s="315" customFormat="1" ht="11.45" customHeight="1">
      <c r="A49" s="1370" t="s">
        <v>1206</v>
      </c>
      <c r="B49" s="531">
        <v>1124.77</v>
      </c>
      <c r="C49" s="531">
        <v>58.655799999999999</v>
      </c>
      <c r="D49" s="531">
        <v>56.431800000000003</v>
      </c>
      <c r="E49" s="531">
        <v>46.144500000000001</v>
      </c>
      <c r="F49" s="531">
        <v>47.234499999999997</v>
      </c>
      <c r="G49" s="531">
        <v>68.736400000000003</v>
      </c>
      <c r="H49" s="531">
        <v>380</v>
      </c>
      <c r="I49" s="531">
        <v>259</v>
      </c>
      <c r="J49" s="531"/>
      <c r="K49" s="531">
        <v>458.15699999999998</v>
      </c>
      <c r="L49" s="531" t="s">
        <v>836</v>
      </c>
      <c r="M49" s="531">
        <v>163.827</v>
      </c>
      <c r="N49" s="531">
        <v>229.7</v>
      </c>
      <c r="O49" s="531">
        <v>483.48700000000002</v>
      </c>
      <c r="P49" s="531">
        <v>561.08100000000002</v>
      </c>
      <c r="Q49" s="531">
        <v>342.95499999999998</v>
      </c>
      <c r="R49" s="531">
        <v>590.25</v>
      </c>
      <c r="S49" s="531">
        <v>25.535799999999998</v>
      </c>
      <c r="T49" s="531">
        <v>12.1371</v>
      </c>
      <c r="U49" s="531">
        <v>24.434799999999999</v>
      </c>
      <c r="V49" s="469"/>
      <c r="X49" s="469"/>
    </row>
    <row r="50" spans="1:24" s="315" customFormat="1" ht="11.45" customHeight="1">
      <c r="A50" s="884" t="s">
        <v>1213</v>
      </c>
      <c r="B50" s="483">
        <v>1159.25</v>
      </c>
      <c r="C50" s="483">
        <v>56.0503</v>
      </c>
      <c r="D50" s="483">
        <v>52.740900000000003</v>
      </c>
      <c r="E50" s="483">
        <v>46.5518</v>
      </c>
      <c r="F50" s="483">
        <v>48.124099999999999</v>
      </c>
      <c r="G50" s="483">
        <v>69.027299999999997</v>
      </c>
      <c r="H50" s="483">
        <v>380</v>
      </c>
      <c r="I50" s="483">
        <v>255</v>
      </c>
      <c r="J50" s="483" t="s">
        <v>836</v>
      </c>
      <c r="K50" s="483">
        <v>405.63600000000002</v>
      </c>
      <c r="L50" s="483" t="s">
        <v>836</v>
      </c>
      <c r="M50" s="483">
        <v>165.38800000000001</v>
      </c>
      <c r="N50" s="483">
        <v>226</v>
      </c>
      <c r="O50" s="483">
        <v>530.24699999999996</v>
      </c>
      <c r="P50" s="483" t="s">
        <v>836</v>
      </c>
      <c r="Q50" s="483">
        <v>338.214</v>
      </c>
      <c r="R50" s="483">
        <v>623.80700000000002</v>
      </c>
      <c r="S50" s="483">
        <v>25.5</v>
      </c>
      <c r="T50" s="483">
        <v>14.1418</v>
      </c>
      <c r="U50" s="483">
        <v>25.0382</v>
      </c>
      <c r="V50" s="469"/>
      <c r="X50" s="469"/>
    </row>
    <row r="51" spans="1:24" s="315" customFormat="1" ht="11.45" customHeight="1">
      <c r="A51" s="1417" t="s">
        <v>1214</v>
      </c>
      <c r="B51" s="531">
        <v>1086.44</v>
      </c>
      <c r="C51" s="531">
        <v>56.326500000000003</v>
      </c>
      <c r="D51" s="531">
        <v>46.161900000000003</v>
      </c>
      <c r="E51" s="531">
        <v>42.323300000000003</v>
      </c>
      <c r="F51" s="531">
        <v>44.417099999999998</v>
      </c>
      <c r="G51" s="531">
        <v>69.221400000000003</v>
      </c>
      <c r="H51" s="531">
        <v>380</v>
      </c>
      <c r="I51" s="531">
        <v>257</v>
      </c>
      <c r="J51" s="531" t="s">
        <v>836</v>
      </c>
      <c r="K51" s="531">
        <v>460.50099999999998</v>
      </c>
      <c r="L51" s="531" t="s">
        <v>836</v>
      </c>
      <c r="M51" s="531">
        <v>157.74199999999999</v>
      </c>
      <c r="N51" s="531">
        <v>229.7</v>
      </c>
      <c r="O51" s="531">
        <v>503.16399999999999</v>
      </c>
      <c r="P51" s="531" t="s">
        <v>836</v>
      </c>
      <c r="Q51" s="531">
        <v>320.34300000000002</v>
      </c>
      <c r="R51" s="531">
        <v>614.73599999999999</v>
      </c>
      <c r="S51" s="531">
        <v>25.2958</v>
      </c>
      <c r="T51" s="531">
        <v>14.888</v>
      </c>
      <c r="U51" s="531">
        <v>25.606000000000002</v>
      </c>
      <c r="V51" s="469"/>
      <c r="X51" s="469"/>
    </row>
    <row r="52" spans="1:24" s="315" customFormat="1" ht="11.45" customHeight="1">
      <c r="A52" s="884" t="s">
        <v>1207</v>
      </c>
      <c r="B52" s="483">
        <v>1075.74</v>
      </c>
      <c r="C52" s="483">
        <v>55.850900000000003</v>
      </c>
      <c r="D52" s="483">
        <v>39.604300000000002</v>
      </c>
      <c r="E52" s="483">
        <v>34.702599999999997</v>
      </c>
      <c r="F52" s="483">
        <v>37.721699999999998</v>
      </c>
      <c r="G52" s="483">
        <v>70.388099999999994</v>
      </c>
      <c r="H52" s="483">
        <v>380</v>
      </c>
      <c r="I52" s="483">
        <v>239.833</v>
      </c>
      <c r="J52" s="483" t="s">
        <v>836</v>
      </c>
      <c r="K52" s="483">
        <v>435.565</v>
      </c>
      <c r="L52" s="483" t="s">
        <v>836</v>
      </c>
      <c r="M52" s="483">
        <v>163.79300000000001</v>
      </c>
      <c r="N52" s="483">
        <v>226</v>
      </c>
      <c r="O52" s="483">
        <v>520.60299999999995</v>
      </c>
      <c r="P52" s="483" t="s">
        <v>836</v>
      </c>
      <c r="Q52" s="483">
        <v>303.86200000000002</v>
      </c>
      <c r="R52" s="483">
        <v>677.19899999999996</v>
      </c>
      <c r="S52" s="483">
        <v>24.925699999999999</v>
      </c>
      <c r="T52" s="483">
        <v>15</v>
      </c>
      <c r="U52" s="483">
        <v>25.8309</v>
      </c>
      <c r="V52" s="469"/>
      <c r="X52" s="469"/>
    </row>
    <row r="53" spans="1:24" s="315" customFormat="1" ht="11.45" customHeight="1">
      <c r="A53" s="1455">
        <v>2016</v>
      </c>
      <c r="B53" s="531"/>
      <c r="C53" s="531"/>
      <c r="D53" s="531"/>
      <c r="E53" s="531"/>
      <c r="F53" s="531"/>
      <c r="G53" s="531"/>
      <c r="H53" s="531"/>
      <c r="I53" s="531"/>
      <c r="J53" s="531"/>
      <c r="K53" s="531"/>
      <c r="L53" s="531"/>
      <c r="M53" s="531"/>
      <c r="N53" s="531"/>
      <c r="O53" s="531"/>
      <c r="P53" s="531"/>
      <c r="Q53" s="531"/>
      <c r="R53" s="531"/>
      <c r="S53" s="531"/>
      <c r="T53" s="531"/>
      <c r="U53" s="531"/>
      <c r="V53" s="469"/>
    </row>
    <row r="54" spans="1:24" s="315" customFormat="1" ht="11.45" customHeight="1">
      <c r="A54" s="884" t="s">
        <v>1215</v>
      </c>
      <c r="B54" s="483">
        <v>1097.9100000000001</v>
      </c>
      <c r="C54" s="483">
        <v>53.373899999999999</v>
      </c>
      <c r="D54" s="483">
        <v>41.252400000000002</v>
      </c>
      <c r="E54" s="483">
        <v>27.246700000000001</v>
      </c>
      <c r="F54" s="483">
        <v>30.8033</v>
      </c>
      <c r="G54" s="483">
        <v>68.75</v>
      </c>
      <c r="H54" s="483">
        <v>380</v>
      </c>
      <c r="I54" s="483">
        <v>214</v>
      </c>
      <c r="J54" s="483" t="s">
        <v>836</v>
      </c>
      <c r="K54" s="483">
        <v>419.29700000000003</v>
      </c>
      <c r="L54" s="483" t="s">
        <v>836</v>
      </c>
      <c r="M54" s="483">
        <v>164.55799999999999</v>
      </c>
      <c r="N54" s="483" t="s">
        <v>836</v>
      </c>
      <c r="O54" s="483">
        <v>531.61900000000003</v>
      </c>
      <c r="P54" s="483" t="s">
        <v>836</v>
      </c>
      <c r="Q54" s="483">
        <v>297.17700000000002</v>
      </c>
      <c r="R54" s="483">
        <v>659.90099999999995</v>
      </c>
      <c r="S54" s="483">
        <v>23.9497</v>
      </c>
      <c r="T54" s="483">
        <v>14.2911</v>
      </c>
      <c r="U54" s="483">
        <v>25.831600000000002</v>
      </c>
      <c r="V54" s="469"/>
      <c r="X54" s="469"/>
    </row>
    <row r="55" spans="1:24" s="315" customFormat="1" ht="12" customHeight="1">
      <c r="A55" s="1487" t="s">
        <v>1216</v>
      </c>
      <c r="B55" s="531">
        <v>1199.5</v>
      </c>
      <c r="C55" s="531">
        <v>54.329500000000003</v>
      </c>
      <c r="D55" s="531">
        <v>46.176200000000001</v>
      </c>
      <c r="E55" s="531">
        <v>29.614799999999999</v>
      </c>
      <c r="F55" s="531">
        <v>33.198099999999997</v>
      </c>
      <c r="G55" s="531">
        <v>66.571399999999997</v>
      </c>
      <c r="H55" s="531">
        <v>329</v>
      </c>
      <c r="I55" s="531">
        <v>209</v>
      </c>
      <c r="J55" s="531" t="s">
        <v>836</v>
      </c>
      <c r="K55" s="531">
        <v>448.315</v>
      </c>
      <c r="L55" s="531" t="s">
        <v>836</v>
      </c>
      <c r="M55" s="531">
        <v>159.25200000000001</v>
      </c>
      <c r="N55" s="531" t="s">
        <v>836</v>
      </c>
      <c r="O55" s="531">
        <v>595.90099999999995</v>
      </c>
      <c r="P55" s="531" t="s">
        <v>836</v>
      </c>
      <c r="Q55" s="531">
        <v>291.36799999999999</v>
      </c>
      <c r="R55" s="531">
        <v>686.904</v>
      </c>
      <c r="S55" s="531">
        <v>23.770800000000001</v>
      </c>
      <c r="T55" s="531">
        <v>13.2905</v>
      </c>
      <c r="U55" s="531">
        <v>25.4985</v>
      </c>
      <c r="V55" s="469"/>
      <c r="X55" s="469"/>
    </row>
    <row r="56" spans="1:24" s="315" customFormat="1" ht="11.45" customHeight="1">
      <c r="A56" s="884" t="s">
        <v>1208</v>
      </c>
      <c r="B56" s="483">
        <v>1245.1400000000001</v>
      </c>
      <c r="C56" s="483">
        <v>55.917900000000003</v>
      </c>
      <c r="D56" s="483">
        <v>55.521700000000003</v>
      </c>
      <c r="E56" s="483">
        <v>35.173000000000002</v>
      </c>
      <c r="F56" s="483">
        <v>39.070900000000002</v>
      </c>
      <c r="G56" s="483">
        <v>65.457099999999997</v>
      </c>
      <c r="H56" s="483">
        <v>275</v>
      </c>
      <c r="I56" s="483">
        <v>203</v>
      </c>
      <c r="J56" s="483" t="s">
        <v>836</v>
      </c>
      <c r="K56" s="483">
        <v>434.28100000000001</v>
      </c>
      <c r="L56" s="483" t="s">
        <v>836</v>
      </c>
      <c r="M56" s="483">
        <v>164.03100000000001</v>
      </c>
      <c r="N56" s="483" t="s">
        <v>836</v>
      </c>
      <c r="O56" s="483">
        <v>633.06799999999998</v>
      </c>
      <c r="P56" s="483" t="s">
        <v>836</v>
      </c>
      <c r="Q56" s="483">
        <v>296.18099999999998</v>
      </c>
      <c r="R56" s="483">
        <v>713.85599999999999</v>
      </c>
      <c r="S56" s="483">
        <v>23.656700000000001</v>
      </c>
      <c r="T56" s="483">
        <v>15.435</v>
      </c>
      <c r="U56" s="483">
        <v>26.316800000000001</v>
      </c>
      <c r="V56" s="469"/>
      <c r="X56" s="469"/>
    </row>
    <row r="57" spans="1:24" s="315" customFormat="1" ht="11.45" customHeight="1">
      <c r="A57" s="1521" t="s">
        <v>1217</v>
      </c>
      <c r="B57" s="531">
        <v>1242.26</v>
      </c>
      <c r="C57" s="531">
        <v>54.830399999999997</v>
      </c>
      <c r="D57" s="531">
        <v>59.581000000000003</v>
      </c>
      <c r="E57" s="531">
        <v>39.037599999999998</v>
      </c>
      <c r="F57" s="531">
        <v>42.247100000000003</v>
      </c>
      <c r="G57" s="531">
        <v>69.278599999999997</v>
      </c>
      <c r="H57" s="531">
        <v>278</v>
      </c>
      <c r="I57" s="531">
        <v>204</v>
      </c>
      <c r="J57" s="531" t="s">
        <v>836</v>
      </c>
      <c r="K57" s="531">
        <v>441.2</v>
      </c>
      <c r="L57" s="531" t="s">
        <v>836</v>
      </c>
      <c r="M57" s="531">
        <v>163.36500000000001</v>
      </c>
      <c r="N57" s="531" t="s">
        <v>836</v>
      </c>
      <c r="O57" s="531">
        <v>681.077</v>
      </c>
      <c r="P57" s="531">
        <v>669.2</v>
      </c>
      <c r="Q57" s="531">
        <v>327.70100000000002</v>
      </c>
      <c r="R57" s="531">
        <v>748.53099999999995</v>
      </c>
      <c r="S57" s="531">
        <v>23.670200000000001</v>
      </c>
      <c r="T57" s="531">
        <v>15.217599999999999</v>
      </c>
      <c r="U57" s="531">
        <v>27.902899999999999</v>
      </c>
      <c r="V57" s="469"/>
      <c r="X57" s="469"/>
    </row>
    <row r="58" spans="1:24" s="315" customFormat="1" ht="11.45" customHeight="1">
      <c r="A58" s="884" t="s">
        <v>1218</v>
      </c>
      <c r="B58" s="483">
        <v>1261</v>
      </c>
      <c r="C58" s="483">
        <v>55.2</v>
      </c>
      <c r="D58" s="483">
        <v>54.9</v>
      </c>
      <c r="E58" s="483">
        <v>44</v>
      </c>
      <c r="F58" s="483">
        <v>47.1</v>
      </c>
      <c r="G58" s="483">
        <v>70.3</v>
      </c>
      <c r="H58" s="483">
        <v>284</v>
      </c>
      <c r="I58" s="483">
        <v>200</v>
      </c>
      <c r="J58" s="483" t="s">
        <v>836</v>
      </c>
      <c r="K58" s="483">
        <v>448</v>
      </c>
      <c r="L58" s="483" t="s">
        <v>836</v>
      </c>
      <c r="M58" s="483">
        <v>157.5</v>
      </c>
      <c r="N58" s="483" t="s">
        <v>836</v>
      </c>
      <c r="O58" s="483">
        <v>644.6</v>
      </c>
      <c r="P58" s="483" t="s">
        <v>836</v>
      </c>
      <c r="Q58" s="483">
        <v>407.5</v>
      </c>
      <c r="R58" s="483">
        <v>707</v>
      </c>
      <c r="S58" s="483">
        <v>24.2</v>
      </c>
      <c r="T58" s="483">
        <v>16.7</v>
      </c>
      <c r="U58" s="483">
        <v>27.3</v>
      </c>
      <c r="V58" s="469"/>
    </row>
    <row r="59" spans="1:24" s="315" customFormat="1" ht="11.45" customHeight="1">
      <c r="A59" s="1521" t="s">
        <v>1209</v>
      </c>
      <c r="B59" s="531">
        <v>1276.4000000000001</v>
      </c>
      <c r="C59" s="531">
        <v>57</v>
      </c>
      <c r="D59" s="531">
        <v>51.4</v>
      </c>
      <c r="E59" s="531">
        <v>45.8</v>
      </c>
      <c r="F59" s="531">
        <v>48.5</v>
      </c>
      <c r="G59" s="531">
        <v>74.099999999999994</v>
      </c>
      <c r="H59" s="531">
        <v>285</v>
      </c>
      <c r="I59" s="531">
        <v>191</v>
      </c>
      <c r="J59" s="531" t="s">
        <v>836</v>
      </c>
      <c r="K59" s="531">
        <v>455.1</v>
      </c>
      <c r="L59" s="531" t="s">
        <v>836</v>
      </c>
      <c r="M59" s="531">
        <v>156.6</v>
      </c>
      <c r="N59" s="531" t="s">
        <v>836</v>
      </c>
      <c r="O59" s="531">
        <v>618.5</v>
      </c>
      <c r="P59" s="531" t="s">
        <v>836</v>
      </c>
      <c r="Q59" s="531">
        <v>443.4</v>
      </c>
      <c r="R59" s="531">
        <v>703.6</v>
      </c>
      <c r="S59" s="531">
        <v>23.6</v>
      </c>
      <c r="T59" s="531">
        <v>19.399999999999999</v>
      </c>
      <c r="U59" s="531">
        <v>27.4</v>
      </c>
      <c r="V59" s="469"/>
    </row>
    <row r="60" spans="1:24" s="315" customFormat="1" ht="11.45" customHeight="1">
      <c r="A60" s="884" t="s">
        <v>1211</v>
      </c>
      <c r="B60" s="483">
        <v>1336.7</v>
      </c>
      <c r="C60" s="483">
        <v>66.7</v>
      </c>
      <c r="D60" s="483">
        <v>56.6</v>
      </c>
      <c r="E60" s="483">
        <v>42.7</v>
      </c>
      <c r="F60" s="483">
        <v>45.1</v>
      </c>
      <c r="G60" s="483">
        <v>81.099999999999994</v>
      </c>
      <c r="H60" s="483">
        <v>285</v>
      </c>
      <c r="I60" s="483">
        <v>177</v>
      </c>
      <c r="J60" s="483" t="s">
        <v>836</v>
      </c>
      <c r="K60" s="483">
        <v>506.3</v>
      </c>
      <c r="L60" s="483" t="s">
        <v>836</v>
      </c>
      <c r="M60" s="483">
        <v>133.6</v>
      </c>
      <c r="N60" s="483" t="s">
        <v>836</v>
      </c>
      <c r="O60" s="483">
        <v>584.20000000000005</v>
      </c>
      <c r="P60" s="483">
        <v>660.5</v>
      </c>
      <c r="Q60" s="483">
        <v>403.3</v>
      </c>
      <c r="R60" s="483">
        <v>669.9</v>
      </c>
      <c r="S60" s="483">
        <v>21.9</v>
      </c>
      <c r="T60" s="483">
        <v>19.7</v>
      </c>
      <c r="U60" s="483">
        <v>28.1</v>
      </c>
      <c r="V60" s="469"/>
    </row>
    <row r="61" spans="1:24" s="315" customFormat="1" ht="11.45" customHeight="1">
      <c r="A61" s="1540" t="s">
        <v>1212</v>
      </c>
      <c r="B61" s="531">
        <v>1340.2</v>
      </c>
      <c r="C61" s="531">
        <v>72.2</v>
      </c>
      <c r="D61" s="531">
        <v>60.5</v>
      </c>
      <c r="E61" s="531">
        <v>43.6</v>
      </c>
      <c r="F61" s="531">
        <v>46.1</v>
      </c>
      <c r="G61" s="531">
        <v>80.3</v>
      </c>
      <c r="H61" s="531">
        <v>283</v>
      </c>
      <c r="I61" s="531">
        <v>182</v>
      </c>
      <c r="J61" s="531" t="s">
        <v>836</v>
      </c>
      <c r="K61" s="531">
        <v>481.7</v>
      </c>
      <c r="L61" s="531" t="s">
        <v>836</v>
      </c>
      <c r="M61" s="531">
        <v>127.9</v>
      </c>
      <c r="N61" s="531" t="s">
        <v>836</v>
      </c>
      <c r="O61" s="531">
        <v>664.4</v>
      </c>
      <c r="P61" s="531">
        <v>644.20000000000005</v>
      </c>
      <c r="Q61" s="531">
        <v>364.5</v>
      </c>
      <c r="R61" s="531">
        <v>711.7</v>
      </c>
      <c r="S61" s="531">
        <v>21.8</v>
      </c>
      <c r="T61" s="531">
        <v>20.5</v>
      </c>
      <c r="U61" s="531">
        <v>27.2</v>
      </c>
      <c r="V61" s="469"/>
    </row>
    <row r="62" spans="1:24" s="315" customFormat="1" ht="11.45" customHeight="1">
      <c r="A62" s="884" t="s">
        <v>1206</v>
      </c>
      <c r="B62" s="483">
        <v>1326.6</v>
      </c>
      <c r="C62" s="483">
        <v>78.099999999999994</v>
      </c>
      <c r="D62" s="483">
        <v>56.7</v>
      </c>
      <c r="E62" s="483">
        <v>43.8</v>
      </c>
      <c r="F62" s="483">
        <v>46.2</v>
      </c>
      <c r="G62" s="483">
        <v>77.900000000000006</v>
      </c>
      <c r="H62" s="483">
        <v>277</v>
      </c>
      <c r="I62" s="483">
        <v>191</v>
      </c>
      <c r="J62" s="483" t="s">
        <v>836</v>
      </c>
      <c r="K62" s="483">
        <v>446.9</v>
      </c>
      <c r="L62" s="483" t="s">
        <v>836</v>
      </c>
      <c r="M62" s="483">
        <v>123.2</v>
      </c>
      <c r="N62" s="483" t="s">
        <v>836</v>
      </c>
      <c r="O62" s="483">
        <v>692.4</v>
      </c>
      <c r="P62" s="483">
        <v>669.5</v>
      </c>
      <c r="Q62" s="483">
        <v>342.2</v>
      </c>
      <c r="R62" s="483">
        <v>722.6</v>
      </c>
      <c r="S62" s="483">
        <v>21.9</v>
      </c>
      <c r="T62" s="483">
        <v>21.9</v>
      </c>
      <c r="U62" s="483">
        <v>27.5</v>
      </c>
      <c r="V62" s="469"/>
    </row>
    <row r="63" spans="1:24" s="315" customFormat="1" ht="11.45" customHeight="1">
      <c r="A63" s="1613" t="s">
        <v>1213</v>
      </c>
      <c r="B63" s="531">
        <v>1266.5999999999999</v>
      </c>
      <c r="C63" s="531">
        <v>99.8</v>
      </c>
      <c r="D63" s="531">
        <v>58</v>
      </c>
      <c r="E63" s="531">
        <v>48.3</v>
      </c>
      <c r="F63" s="531">
        <v>49.7</v>
      </c>
      <c r="G63" s="531">
        <v>78.5</v>
      </c>
      <c r="H63" s="531">
        <v>273</v>
      </c>
      <c r="I63" s="531">
        <v>193</v>
      </c>
      <c r="J63" s="531" t="s">
        <v>836</v>
      </c>
      <c r="K63" s="531">
        <v>429.1</v>
      </c>
      <c r="L63" s="531" t="s">
        <v>836</v>
      </c>
      <c r="M63" s="531">
        <v>122.5</v>
      </c>
      <c r="N63" s="531" t="s">
        <v>836</v>
      </c>
      <c r="O63" s="531">
        <v>651.4</v>
      </c>
      <c r="P63" s="531" t="s">
        <v>836</v>
      </c>
      <c r="Q63" s="531">
        <v>337.1</v>
      </c>
      <c r="R63" s="531">
        <v>757.3</v>
      </c>
      <c r="S63" s="531">
        <v>20.5</v>
      </c>
      <c r="T63" s="531">
        <v>22.9</v>
      </c>
      <c r="U63" s="531">
        <v>28.6</v>
      </c>
      <c r="V63" s="469"/>
    </row>
    <row r="64" spans="1:24" s="315" customFormat="1" ht="11.45" customHeight="1" thickBot="1">
      <c r="A64" s="858" t="s">
        <v>1214</v>
      </c>
      <c r="B64" s="962">
        <v>1238.4000000000001</v>
      </c>
      <c r="C64" s="962">
        <v>107.1</v>
      </c>
      <c r="D64" s="962">
        <v>72.3</v>
      </c>
      <c r="E64" s="962">
        <v>43.8</v>
      </c>
      <c r="F64" s="962">
        <v>46.4</v>
      </c>
      <c r="G64" s="962">
        <v>78.900000000000006</v>
      </c>
      <c r="H64" s="962">
        <v>270</v>
      </c>
      <c r="I64" s="962">
        <v>211</v>
      </c>
      <c r="J64" s="962" t="s">
        <v>836</v>
      </c>
      <c r="K64" s="962" t="s">
        <v>836</v>
      </c>
      <c r="L64" s="962" t="s">
        <v>836</v>
      </c>
      <c r="M64" s="962">
        <v>122.5</v>
      </c>
      <c r="N64" s="962" t="s">
        <v>836</v>
      </c>
      <c r="O64" s="962">
        <v>670</v>
      </c>
      <c r="P64" s="962" t="s">
        <v>836</v>
      </c>
      <c r="Q64" s="962">
        <v>345.7</v>
      </c>
      <c r="R64" s="962">
        <v>772.4</v>
      </c>
      <c r="S64" s="962">
        <v>20.7</v>
      </c>
      <c r="T64" s="962">
        <v>20.9</v>
      </c>
      <c r="U64" s="962">
        <v>28.8</v>
      </c>
      <c r="V64" s="469"/>
    </row>
    <row r="65" spans="1:23" ht="11.25" customHeight="1">
      <c r="A65" s="152" t="s">
        <v>987</v>
      </c>
      <c r="B65" s="10" t="s">
        <v>2303</v>
      </c>
      <c r="E65" s="214"/>
      <c r="F65" s="214"/>
      <c r="G65" s="214"/>
      <c r="H65" s="41"/>
      <c r="I65" s="41"/>
      <c r="J65" s="41"/>
      <c r="K65" s="14" t="s">
        <v>1498</v>
      </c>
      <c r="L65" s="2163" t="s">
        <v>416</v>
      </c>
      <c r="M65" s="2163"/>
      <c r="N65" s="2163"/>
      <c r="O65" s="2163"/>
      <c r="P65" s="2163"/>
      <c r="Q65" s="2163"/>
      <c r="R65" s="17"/>
      <c r="S65" s="17"/>
      <c r="T65" s="18"/>
      <c r="U65" s="41"/>
    </row>
    <row r="66" spans="1:23" s="18" customFormat="1" ht="9" customHeight="1">
      <c r="B66" s="2174" t="s">
        <v>1385</v>
      </c>
      <c r="C66" s="2174"/>
      <c r="D66" s="2174"/>
      <c r="E66" s="2174"/>
      <c r="F66" s="2174"/>
      <c r="G66" s="2174"/>
      <c r="H66" s="2174"/>
      <c r="I66" s="2174"/>
      <c r="J66" s="2174"/>
      <c r="L66" s="2165" t="s">
        <v>417</v>
      </c>
      <c r="M66" s="2165"/>
      <c r="N66" s="2165"/>
      <c r="O66" s="2165"/>
      <c r="P66" s="2165"/>
      <c r="Q66" s="2165"/>
      <c r="R66" s="2165"/>
      <c r="S66" s="17"/>
      <c r="T66" s="17"/>
    </row>
    <row r="67" spans="1:23" s="18" customFormat="1" ht="10.5" customHeight="1">
      <c r="B67" s="2169" t="s">
        <v>2647</v>
      </c>
      <c r="C67" s="2169"/>
      <c r="D67" s="2169"/>
      <c r="E67" s="2169"/>
      <c r="F67" s="135"/>
      <c r="G67" s="240"/>
      <c r="K67" s="14" t="s">
        <v>1384</v>
      </c>
      <c r="L67" s="2014" t="s">
        <v>988</v>
      </c>
      <c r="M67" s="2014"/>
      <c r="N67" s="2014"/>
      <c r="O67" s="2014"/>
      <c r="P67" s="2014"/>
      <c r="Q67" s="2014"/>
    </row>
    <row r="68" spans="1:23" s="18" customFormat="1" ht="8.25" customHeight="1">
      <c r="A68" s="46"/>
      <c r="F68" s="135"/>
      <c r="G68" s="135"/>
      <c r="I68" s="1552"/>
    </row>
    <row r="69" spans="1:23">
      <c r="C69" s="135"/>
      <c r="D69" s="135"/>
      <c r="E69" s="135"/>
      <c r="F69" s="135"/>
      <c r="G69" s="135"/>
      <c r="H69" s="135"/>
      <c r="I69" s="1552"/>
      <c r="J69" s="135"/>
      <c r="K69" s="135"/>
      <c r="L69" s="135"/>
      <c r="M69" s="135"/>
      <c r="N69" s="135"/>
      <c r="O69" s="135"/>
      <c r="P69" s="135"/>
      <c r="Q69" s="135"/>
      <c r="R69" s="135"/>
      <c r="S69" s="135"/>
      <c r="T69" s="135"/>
      <c r="U69" s="1552"/>
      <c r="V69" s="1552"/>
      <c r="W69" s="135"/>
    </row>
    <row r="70" spans="1:23">
      <c r="C70" s="135"/>
      <c r="D70" s="135"/>
      <c r="E70" s="135"/>
      <c r="F70" s="135"/>
      <c r="G70" s="135"/>
      <c r="H70" s="135"/>
      <c r="I70" s="1552"/>
      <c r="J70" s="135"/>
      <c r="K70" s="135"/>
      <c r="L70" s="135"/>
      <c r="M70" s="135"/>
      <c r="N70" s="135"/>
      <c r="O70" s="135"/>
      <c r="P70" s="135"/>
      <c r="Q70" s="135"/>
      <c r="R70" s="135"/>
      <c r="S70" s="135"/>
      <c r="T70" s="135"/>
      <c r="U70" s="1552"/>
      <c r="V70" s="1552"/>
      <c r="W70" s="135"/>
    </row>
    <row r="71" spans="1:23">
      <c r="C71" s="135"/>
      <c r="D71" s="135"/>
      <c r="E71" s="135"/>
      <c r="F71" s="135"/>
      <c r="G71" s="135"/>
      <c r="H71" s="135"/>
      <c r="I71" s="1552"/>
      <c r="J71" s="135"/>
      <c r="K71" s="135"/>
      <c r="L71" s="135"/>
      <c r="M71" s="135"/>
      <c r="N71" s="135"/>
      <c r="O71" s="135"/>
      <c r="P71" s="135"/>
      <c r="Q71" s="135"/>
      <c r="R71" s="135"/>
      <c r="S71" s="135"/>
      <c r="T71" s="135"/>
      <c r="U71" s="1552"/>
      <c r="V71" s="1552"/>
      <c r="W71" s="135"/>
    </row>
    <row r="72" spans="1:23">
      <c r="C72" s="135"/>
      <c r="D72" s="135"/>
      <c r="E72" s="135"/>
      <c r="F72" s="135"/>
      <c r="G72" s="135"/>
      <c r="H72" s="135"/>
      <c r="I72" s="1552"/>
      <c r="J72" s="135"/>
      <c r="K72" s="135"/>
      <c r="L72" s="135"/>
      <c r="M72" s="135"/>
      <c r="N72" s="135"/>
      <c r="O72" s="135"/>
      <c r="P72" s="135"/>
      <c r="Q72" s="135"/>
      <c r="R72" s="135"/>
      <c r="S72" s="135"/>
      <c r="T72" s="135"/>
      <c r="U72" s="1552"/>
      <c r="V72" s="1552"/>
      <c r="W72" s="135"/>
    </row>
    <row r="73" spans="1:23">
      <c r="C73" s="135"/>
      <c r="D73" s="135"/>
      <c r="E73" s="135"/>
      <c r="F73" s="135"/>
      <c r="G73" s="135"/>
      <c r="H73" s="135"/>
      <c r="I73" s="1552"/>
      <c r="J73" s="135"/>
      <c r="K73" s="135"/>
      <c r="L73" s="135"/>
      <c r="M73" s="135"/>
      <c r="N73" s="135"/>
      <c r="O73" s="135"/>
      <c r="P73" s="135"/>
      <c r="Q73" s="135"/>
      <c r="R73" s="135"/>
      <c r="S73" s="135"/>
      <c r="T73" s="135"/>
      <c r="U73" s="1552"/>
      <c r="V73" s="1552"/>
      <c r="W73" s="135"/>
    </row>
    <row r="74" spans="1:23">
      <c r="C74" s="135"/>
      <c r="D74" s="135"/>
      <c r="E74" s="135"/>
      <c r="F74" s="135"/>
      <c r="G74" s="135"/>
      <c r="H74" s="135"/>
      <c r="I74" s="1552"/>
      <c r="J74" s="135"/>
      <c r="K74" s="135"/>
      <c r="L74" s="135"/>
      <c r="M74" s="135"/>
      <c r="N74" s="135"/>
      <c r="O74" s="135"/>
      <c r="P74" s="135"/>
      <c r="Q74" s="135"/>
      <c r="R74" s="135"/>
      <c r="S74" s="135"/>
      <c r="T74" s="135"/>
      <c r="U74" s="1552"/>
      <c r="V74" s="1552"/>
      <c r="W74" s="135"/>
    </row>
    <row r="75" spans="1:23">
      <c r="C75" s="135"/>
      <c r="D75" s="135"/>
      <c r="E75" s="135"/>
      <c r="F75" s="135"/>
      <c r="G75" s="135"/>
      <c r="H75" s="135"/>
      <c r="I75" s="1552"/>
      <c r="J75" s="135"/>
      <c r="K75" s="135"/>
      <c r="L75" s="135"/>
      <c r="M75" s="135"/>
      <c r="N75" s="135"/>
      <c r="O75" s="135"/>
      <c r="P75" s="135"/>
      <c r="Q75" s="135"/>
      <c r="R75" s="135"/>
      <c r="S75" s="135"/>
      <c r="T75" s="135"/>
      <c r="U75" s="1552"/>
      <c r="V75" s="1552"/>
      <c r="W75" s="135"/>
    </row>
    <row r="76" spans="1:23">
      <c r="C76" s="135"/>
      <c r="D76" s="135"/>
      <c r="E76" s="135"/>
      <c r="F76" s="135"/>
      <c r="G76" s="135"/>
      <c r="H76" s="135"/>
      <c r="I76" s="1552"/>
      <c r="J76" s="135"/>
      <c r="K76" s="135"/>
      <c r="L76" s="135"/>
      <c r="M76" s="135"/>
      <c r="N76" s="135"/>
      <c r="O76" s="135"/>
      <c r="P76" s="135"/>
      <c r="Q76" s="135"/>
      <c r="R76" s="135"/>
      <c r="S76" s="135"/>
      <c r="T76" s="135"/>
      <c r="U76" s="1552"/>
      <c r="V76" s="1552"/>
      <c r="W76" s="135"/>
    </row>
    <row r="77" spans="1:23">
      <c r="C77" s="135"/>
      <c r="D77" s="135"/>
      <c r="E77" s="135"/>
      <c r="F77" s="135"/>
      <c r="G77" s="135"/>
      <c r="H77" s="135"/>
      <c r="I77" s="1552"/>
      <c r="J77" s="135"/>
      <c r="K77" s="135"/>
      <c r="L77" s="135"/>
      <c r="M77" s="135"/>
      <c r="N77" s="135"/>
      <c r="O77" s="135"/>
      <c r="P77" s="135"/>
      <c r="Q77" s="135"/>
      <c r="R77" s="135"/>
      <c r="S77" s="135"/>
      <c r="T77" s="135"/>
      <c r="U77" s="1552"/>
      <c r="V77" s="1552"/>
      <c r="W77" s="135"/>
    </row>
    <row r="78" spans="1:23">
      <c r="C78" s="135"/>
      <c r="D78" s="135"/>
      <c r="E78" s="135"/>
      <c r="F78" s="135"/>
      <c r="G78" s="135"/>
      <c r="H78" s="135"/>
      <c r="I78" s="1552"/>
      <c r="J78" s="135"/>
      <c r="K78" s="135"/>
      <c r="L78" s="135"/>
      <c r="M78" s="135"/>
      <c r="N78" s="135"/>
      <c r="O78" s="135"/>
      <c r="P78" s="135"/>
      <c r="Q78" s="135"/>
      <c r="R78" s="135"/>
      <c r="S78" s="135"/>
      <c r="T78" s="135"/>
      <c r="U78" s="1552"/>
      <c r="V78" s="1552"/>
      <c r="W78" s="135"/>
    </row>
    <row r="79" spans="1:23">
      <c r="C79" s="135"/>
      <c r="D79" s="135"/>
      <c r="E79" s="135"/>
      <c r="F79" s="135"/>
      <c r="G79" s="135"/>
      <c r="H79" s="135"/>
      <c r="I79" s="1552"/>
      <c r="J79" s="135"/>
      <c r="K79" s="135"/>
      <c r="L79" s="135"/>
      <c r="M79" s="135"/>
      <c r="N79" s="135"/>
      <c r="O79" s="135"/>
      <c r="P79" s="135"/>
      <c r="Q79" s="135"/>
      <c r="R79" s="135"/>
      <c r="S79" s="135"/>
      <c r="T79" s="135"/>
      <c r="U79" s="1552"/>
      <c r="V79" s="1552"/>
      <c r="W79" s="135"/>
    </row>
    <row r="80" spans="1:23">
      <c r="C80" s="135"/>
      <c r="D80" s="135"/>
      <c r="E80" s="135"/>
      <c r="F80" s="135"/>
      <c r="G80" s="135"/>
      <c r="H80" s="135"/>
      <c r="I80" s="135"/>
      <c r="J80" s="135"/>
      <c r="K80" s="135"/>
      <c r="L80" s="135"/>
      <c r="M80" s="135"/>
      <c r="N80" s="135"/>
      <c r="O80" s="135"/>
      <c r="P80" s="135"/>
      <c r="Q80" s="135"/>
      <c r="R80" s="135"/>
      <c r="S80" s="135"/>
      <c r="T80" s="135"/>
      <c r="U80" s="1552"/>
      <c r="V80" s="1552"/>
      <c r="W80" s="135"/>
    </row>
    <row r="81" spans="3:23">
      <c r="C81" s="135"/>
      <c r="D81" s="135"/>
      <c r="E81" s="135"/>
      <c r="F81" s="135"/>
      <c r="G81" s="135"/>
      <c r="H81" s="135"/>
      <c r="I81" s="135"/>
      <c r="J81" s="135"/>
      <c r="K81" s="135"/>
      <c r="L81" s="135"/>
      <c r="M81" s="135"/>
      <c r="N81" s="135"/>
      <c r="O81" s="135"/>
      <c r="P81" s="135"/>
      <c r="Q81" s="135"/>
      <c r="R81" s="135"/>
      <c r="S81" s="135"/>
      <c r="T81" s="135"/>
      <c r="U81" s="1552"/>
      <c r="V81" s="18"/>
      <c r="W81" s="135"/>
    </row>
    <row r="82" spans="3:23">
      <c r="C82" s="135"/>
      <c r="D82" s="135"/>
      <c r="E82" s="135"/>
      <c r="F82" s="135"/>
      <c r="G82" s="135"/>
      <c r="H82" s="135"/>
      <c r="I82" s="1553"/>
      <c r="J82" s="135"/>
      <c r="K82" s="135"/>
      <c r="L82" s="135"/>
      <c r="M82" s="135"/>
      <c r="N82" s="135"/>
      <c r="O82" s="135"/>
      <c r="P82" s="135"/>
      <c r="Q82" s="135"/>
      <c r="R82" s="135"/>
      <c r="S82" s="135"/>
      <c r="T82" s="135"/>
      <c r="U82" s="1552"/>
      <c r="V82" s="18"/>
      <c r="W82" s="135"/>
    </row>
    <row r="83" spans="3:23">
      <c r="C83" s="135"/>
      <c r="D83" s="135"/>
      <c r="F83" s="135"/>
      <c r="G83" s="135"/>
      <c r="H83" s="135"/>
      <c r="I83" s="135"/>
      <c r="J83" s="135"/>
      <c r="K83" s="135"/>
      <c r="L83" s="135"/>
      <c r="M83" s="135"/>
      <c r="N83" s="135"/>
      <c r="O83" s="135"/>
      <c r="P83" s="135"/>
      <c r="R83" s="135"/>
      <c r="S83" s="135"/>
      <c r="T83" s="135"/>
      <c r="U83" s="1552"/>
      <c r="V83" s="18"/>
      <c r="W83" s="135"/>
    </row>
    <row r="84" spans="3:23">
      <c r="C84" s="135"/>
      <c r="D84" s="135"/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R84" s="135"/>
      <c r="S84" s="135"/>
      <c r="T84" s="135"/>
      <c r="U84" s="1552"/>
      <c r="V84" s="18"/>
      <c r="W84" s="135"/>
    </row>
    <row r="85" spans="3:23">
      <c r="D85" s="135"/>
      <c r="F85" s="135"/>
      <c r="G85" s="135"/>
      <c r="H85" s="135"/>
      <c r="I85" s="135"/>
      <c r="J85" s="135"/>
      <c r="K85" s="135"/>
      <c r="L85" s="135"/>
      <c r="M85" s="135"/>
      <c r="N85" s="135"/>
      <c r="O85" s="135"/>
      <c r="P85" s="135"/>
      <c r="S85" s="135"/>
      <c r="T85" s="135"/>
      <c r="U85" s="1552"/>
      <c r="V85" s="18"/>
      <c r="W85" s="135"/>
    </row>
    <row r="86" spans="3:23">
      <c r="D86" s="135"/>
      <c r="F86" s="135"/>
      <c r="G86" s="135"/>
      <c r="H86" s="135"/>
      <c r="I86" s="135"/>
      <c r="J86" s="135"/>
      <c r="K86" s="135"/>
      <c r="L86" s="135"/>
      <c r="M86" s="135"/>
      <c r="N86" s="135"/>
      <c r="O86" s="135"/>
      <c r="P86" s="135"/>
      <c r="R86" s="135"/>
      <c r="S86" s="135"/>
      <c r="T86" s="135"/>
      <c r="U86" s="1552"/>
      <c r="V86" s="18"/>
      <c r="W86" s="135"/>
    </row>
    <row r="87" spans="3:23">
      <c r="D87" s="135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135"/>
      <c r="P87" s="135"/>
      <c r="Q87" s="135"/>
      <c r="R87" s="135"/>
      <c r="S87" s="135"/>
      <c r="T87" s="135"/>
      <c r="U87" s="1552"/>
      <c r="V87" s="18"/>
      <c r="W87" s="135"/>
    </row>
    <row r="88" spans="3:23">
      <c r="D88" s="135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135"/>
      <c r="P88" s="135"/>
      <c r="Q88" s="135"/>
      <c r="R88" s="135"/>
      <c r="S88" s="135"/>
      <c r="T88" s="135"/>
      <c r="U88" s="1552"/>
      <c r="V88" s="18"/>
      <c r="W88" s="135"/>
    </row>
    <row r="89" spans="3:23">
      <c r="C89" s="135"/>
      <c r="D89" s="135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135"/>
      <c r="P89" s="135"/>
      <c r="Q89" s="135"/>
      <c r="R89" s="135"/>
      <c r="S89" s="135"/>
      <c r="T89" s="135"/>
      <c r="U89" s="1552"/>
      <c r="V89" s="18"/>
      <c r="W89" s="135"/>
    </row>
    <row r="90" spans="3:23">
      <c r="C90" s="135"/>
      <c r="D90" s="135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135"/>
      <c r="P90" s="135"/>
      <c r="Q90" s="135"/>
      <c r="R90" s="135"/>
      <c r="S90" s="135"/>
      <c r="T90" s="135"/>
      <c r="U90" s="135"/>
      <c r="W90" s="135"/>
    </row>
    <row r="91" spans="3:23">
      <c r="J91" s="135"/>
      <c r="K91" s="135"/>
      <c r="M91" s="135"/>
      <c r="O91" s="135"/>
      <c r="P91" s="135"/>
      <c r="Q91" s="135"/>
      <c r="R91" s="135"/>
    </row>
  </sheetData>
  <mergeCells count="13">
    <mergeCell ref="B67:E67"/>
    <mergeCell ref="L67:Q67"/>
    <mergeCell ref="A1:J1"/>
    <mergeCell ref="K1:R1"/>
    <mergeCell ref="S3:U3"/>
    <mergeCell ref="E3:F3"/>
    <mergeCell ref="S1:U1"/>
    <mergeCell ref="L65:Q65"/>
    <mergeCell ref="B66:J66"/>
    <mergeCell ref="L66:R66"/>
    <mergeCell ref="T2:U2"/>
    <mergeCell ref="O3:P3"/>
    <mergeCell ref="L3:N3"/>
  </mergeCells>
  <phoneticPr fontId="0" type="noConversion"/>
  <pageMargins left="0.62992125984252001" right="0.511811023622047" top="0.511811023622047" bottom="0.511811023622047" header="0" footer="0.39370078740157499"/>
  <pageSetup paperSize="512" firstPageNumber="100" orientation="portrait" useFirstPageNumber="1" r:id="rId1"/>
  <headerFooter alignWithMargins="0">
    <oddFooter>&amp;C&amp;"Times New Roman,Regular"&amp;8&amp;P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S79"/>
  <sheetViews>
    <sheetView zoomScale="120" zoomScaleNormal="120" workbookViewId="0">
      <pane xSplit="2" ySplit="5" topLeftCell="C63" activePane="bottomRight" state="frozen"/>
      <selection pane="topRight" activeCell="C1" sqref="C1"/>
      <selection pane="bottomLeft" activeCell="A6" sqref="A6"/>
      <selection pane="bottomRight" activeCell="K75" sqref="K75"/>
    </sheetView>
  </sheetViews>
  <sheetFormatPr defaultColWidth="9.140625" defaultRowHeight="11.25"/>
  <cols>
    <col min="1" max="1" width="8.7109375" style="3" customWidth="1"/>
    <col min="2" max="2" width="0.85546875" style="3" customWidth="1"/>
    <col min="3" max="3" width="9.140625" style="1"/>
    <col min="4" max="4" width="7.5703125" style="1" customWidth="1"/>
    <col min="5" max="5" width="9.28515625" style="1" customWidth="1"/>
    <col min="6" max="6" width="9.7109375" style="1" customWidth="1"/>
    <col min="7" max="7" width="9.28515625" style="1" customWidth="1"/>
    <col min="8" max="8" width="8.5703125" style="1" customWidth="1"/>
    <col min="9" max="9" width="8.42578125" style="1" customWidth="1"/>
    <col min="10" max="10" width="7.42578125" style="1" customWidth="1"/>
    <col min="11" max="11" width="10.85546875" style="1" customWidth="1"/>
    <col min="12" max="12" width="11.7109375" style="1" customWidth="1"/>
    <col min="13" max="13" width="11.5703125" style="1" customWidth="1"/>
    <col min="14" max="14" width="11.7109375" style="1" customWidth="1"/>
    <col min="15" max="15" width="11.28515625" style="1" customWidth="1"/>
    <col min="16" max="16" width="11.140625" style="1" customWidth="1"/>
    <col min="17" max="17" width="10.85546875" style="3" customWidth="1"/>
    <col min="18" max="16384" width="9.140625" style="1"/>
  </cols>
  <sheetData>
    <row r="1" spans="1:17" s="122" customFormat="1" ht="12.75" customHeight="1">
      <c r="A1" s="2140" t="s">
        <v>561</v>
      </c>
      <c r="B1" s="2140"/>
      <c r="C1" s="2140"/>
      <c r="D1" s="2140"/>
      <c r="E1" s="2140"/>
      <c r="F1" s="2140"/>
      <c r="G1" s="2140"/>
      <c r="H1" s="2140"/>
      <c r="I1" s="2140"/>
      <c r="J1" s="2140"/>
      <c r="K1" s="2183" t="s">
        <v>560</v>
      </c>
      <c r="L1" s="2183"/>
      <c r="M1" s="2183"/>
      <c r="N1" s="2183"/>
      <c r="O1" s="2183"/>
      <c r="P1" s="2179" t="s">
        <v>2464</v>
      </c>
      <c r="Q1" s="2179"/>
    </row>
    <row r="2" spans="1:17" s="31" customFormat="1" ht="9.75" customHeight="1">
      <c r="P2" s="2184" t="s">
        <v>42</v>
      </c>
      <c r="Q2" s="2184"/>
    </row>
    <row r="3" spans="1:17" s="121" customFormat="1" ht="13.5" customHeight="1">
      <c r="A3" s="2042" t="s">
        <v>1132</v>
      </c>
      <c r="B3" s="2043"/>
      <c r="C3" s="2049" t="s">
        <v>559</v>
      </c>
      <c r="D3" s="2050"/>
      <c r="E3" s="2050"/>
      <c r="F3" s="2050"/>
      <c r="G3" s="2050"/>
      <c r="H3" s="2050"/>
      <c r="I3" s="2050"/>
      <c r="J3" s="2050"/>
      <c r="K3" s="2050"/>
      <c r="L3" s="2087"/>
      <c r="M3" s="2049" t="s">
        <v>1255</v>
      </c>
      <c r="N3" s="2050"/>
      <c r="O3" s="2050"/>
      <c r="P3" s="2051"/>
      <c r="Q3" s="1975" t="s">
        <v>1132</v>
      </c>
    </row>
    <row r="4" spans="1:17" s="31" customFormat="1" ht="12.75" customHeight="1">
      <c r="A4" s="2180"/>
      <c r="B4" s="2181"/>
      <c r="C4" s="2182" t="s">
        <v>1649</v>
      </c>
      <c r="D4" s="2185" t="s">
        <v>824</v>
      </c>
      <c r="E4" s="1956" t="s">
        <v>2011</v>
      </c>
      <c r="F4" s="1956" t="s">
        <v>1650</v>
      </c>
      <c r="G4" s="1996" t="s">
        <v>1190</v>
      </c>
      <c r="H4" s="1996"/>
      <c r="I4" s="2189" t="s">
        <v>1192</v>
      </c>
      <c r="J4" s="2190"/>
      <c r="K4" s="1956" t="s">
        <v>2013</v>
      </c>
      <c r="L4" s="1956" t="s">
        <v>2014</v>
      </c>
      <c r="M4" s="1853" t="s">
        <v>2012</v>
      </c>
      <c r="N4" s="1853" t="s">
        <v>2015</v>
      </c>
      <c r="O4" s="1853" t="s">
        <v>1256</v>
      </c>
      <c r="P4" s="1853" t="s">
        <v>1193</v>
      </c>
      <c r="Q4" s="1976"/>
    </row>
    <row r="5" spans="1:17" s="31" customFormat="1" ht="11.25" customHeight="1">
      <c r="A5" s="2044"/>
      <c r="B5" s="2045"/>
      <c r="C5" s="2182"/>
      <c r="D5" s="2186"/>
      <c r="E5" s="1950"/>
      <c r="F5" s="1950"/>
      <c r="G5" s="29" t="s">
        <v>1130</v>
      </c>
      <c r="H5" s="29" t="s">
        <v>1191</v>
      </c>
      <c r="I5" s="29" t="s">
        <v>1130</v>
      </c>
      <c r="J5" s="29" t="s">
        <v>1191</v>
      </c>
      <c r="K5" s="1950"/>
      <c r="L5" s="1950"/>
      <c r="M5" s="1854"/>
      <c r="N5" s="1854"/>
      <c r="O5" s="1854"/>
      <c r="P5" s="1854"/>
      <c r="Q5" s="1977"/>
    </row>
    <row r="6" spans="1:17" s="10" customFormat="1" ht="11.25" customHeight="1">
      <c r="A6" s="12" t="s">
        <v>1194</v>
      </c>
      <c r="B6" s="12"/>
      <c r="C6" s="19">
        <v>2983.58</v>
      </c>
      <c r="D6" s="21" t="s">
        <v>836</v>
      </c>
      <c r="E6" s="19">
        <v>157.97</v>
      </c>
      <c r="F6" s="19">
        <v>1704.9</v>
      </c>
      <c r="G6" s="19">
        <v>1032.75</v>
      </c>
      <c r="H6" s="19">
        <v>1713.49</v>
      </c>
      <c r="I6" s="19">
        <v>1182.4000000000001</v>
      </c>
      <c r="J6" s="19">
        <v>70.42</v>
      </c>
      <c r="K6" s="19">
        <v>150.01</v>
      </c>
      <c r="L6" s="19">
        <f>C6+E6+F6+G6+H6+I6+J6+K6</f>
        <v>8995.52</v>
      </c>
      <c r="M6" s="19">
        <v>90.57</v>
      </c>
      <c r="N6" s="19" t="s">
        <v>836</v>
      </c>
      <c r="O6" s="19">
        <v>86.68</v>
      </c>
      <c r="P6" s="19">
        <v>114.43</v>
      </c>
      <c r="Q6" s="113" t="s">
        <v>1194</v>
      </c>
    </row>
    <row r="7" spans="1:17" s="10" customFormat="1" ht="11.25" customHeight="1">
      <c r="A7" s="552" t="s">
        <v>1195</v>
      </c>
      <c r="B7" s="552"/>
      <c r="C7" s="580">
        <v>3676.94</v>
      </c>
      <c r="D7" s="537" t="s">
        <v>836</v>
      </c>
      <c r="E7" s="580">
        <v>177.82</v>
      </c>
      <c r="F7" s="580">
        <v>1491.56</v>
      </c>
      <c r="G7" s="580">
        <v>1248.3399999999999</v>
      </c>
      <c r="H7" s="580">
        <v>2215.23</v>
      </c>
      <c r="I7" s="580">
        <v>1344.12</v>
      </c>
      <c r="J7" s="580">
        <v>187.61</v>
      </c>
      <c r="K7" s="580">
        <v>180.94</v>
      </c>
      <c r="L7" s="580">
        <f t="shared" ref="L7:L17" si="0">C7+E7+F7+G7+H7+I7+J7+K7</f>
        <v>10522.56</v>
      </c>
      <c r="M7" s="580">
        <v>207.28</v>
      </c>
      <c r="N7" s="580">
        <v>31.55</v>
      </c>
      <c r="O7" s="580">
        <v>99.5</v>
      </c>
      <c r="P7" s="580">
        <v>118.16</v>
      </c>
      <c r="Q7" s="553" t="s">
        <v>1195</v>
      </c>
    </row>
    <row r="8" spans="1:17" s="10" customFormat="1" ht="11.25" customHeight="1">
      <c r="A8" s="12" t="s">
        <v>1196</v>
      </c>
      <c r="B8" s="12"/>
      <c r="C8" s="19">
        <v>3772.58</v>
      </c>
      <c r="D8" s="21" t="s">
        <v>836</v>
      </c>
      <c r="E8" s="19">
        <v>183.09</v>
      </c>
      <c r="F8" s="19">
        <v>1533.21</v>
      </c>
      <c r="G8" s="19">
        <v>1304.72</v>
      </c>
      <c r="H8" s="19">
        <v>2555.98</v>
      </c>
      <c r="I8" s="19">
        <v>1464.15</v>
      </c>
      <c r="J8" s="19">
        <v>359.39</v>
      </c>
      <c r="K8" s="19">
        <v>196.94</v>
      </c>
      <c r="L8" s="19">
        <f t="shared" si="0"/>
        <v>11370.06</v>
      </c>
      <c r="M8" s="19">
        <v>442.56</v>
      </c>
      <c r="N8" s="19" t="s">
        <v>1257</v>
      </c>
      <c r="O8" s="19">
        <v>89.61</v>
      </c>
      <c r="P8" s="19">
        <v>125.73</v>
      </c>
      <c r="Q8" s="113" t="s">
        <v>1196</v>
      </c>
    </row>
    <row r="9" spans="1:17" s="10" customFormat="1" ht="11.25" customHeight="1">
      <c r="A9" s="552" t="s">
        <v>1197</v>
      </c>
      <c r="B9" s="552"/>
      <c r="C9" s="580">
        <v>4013.05</v>
      </c>
      <c r="D9" s="537" t="s">
        <v>836</v>
      </c>
      <c r="E9" s="580">
        <v>203.18</v>
      </c>
      <c r="F9" s="580">
        <v>1664.84</v>
      </c>
      <c r="G9" s="580">
        <v>1550.82</v>
      </c>
      <c r="H9" s="580">
        <v>2788.04</v>
      </c>
      <c r="I9" s="580">
        <v>1618.77</v>
      </c>
      <c r="J9" s="580">
        <v>452.12</v>
      </c>
      <c r="K9" s="580">
        <v>212.43</v>
      </c>
      <c r="L9" s="580">
        <f t="shared" si="0"/>
        <v>12503.250000000002</v>
      </c>
      <c r="M9" s="580">
        <v>164.47</v>
      </c>
      <c r="N9" s="580">
        <v>51.79</v>
      </c>
      <c r="O9" s="580">
        <v>108.26</v>
      </c>
      <c r="P9" s="580">
        <v>131.18</v>
      </c>
      <c r="Q9" s="553" t="s">
        <v>1197</v>
      </c>
    </row>
    <row r="10" spans="1:17" s="10" customFormat="1" ht="11.25" customHeight="1">
      <c r="A10" s="12" t="s">
        <v>1198</v>
      </c>
      <c r="B10" s="12"/>
      <c r="C10" s="19">
        <v>4539.1000000000004</v>
      </c>
      <c r="D10" s="21" t="s">
        <v>836</v>
      </c>
      <c r="E10" s="19">
        <v>215.16</v>
      </c>
      <c r="F10" s="19">
        <v>1953.55</v>
      </c>
      <c r="G10" s="19">
        <v>1668.23</v>
      </c>
      <c r="H10" s="19">
        <v>2900.73</v>
      </c>
      <c r="I10" s="19">
        <v>1715.7</v>
      </c>
      <c r="J10" s="19">
        <v>565.96</v>
      </c>
      <c r="K10" s="19">
        <v>190.47</v>
      </c>
      <c r="L10" s="19">
        <f t="shared" si="0"/>
        <v>13748.9</v>
      </c>
      <c r="M10" s="19">
        <v>226.06</v>
      </c>
      <c r="N10" s="19">
        <v>41.17</v>
      </c>
      <c r="O10" s="19">
        <v>111.51</v>
      </c>
      <c r="P10" s="19">
        <v>131.16999999999999</v>
      </c>
      <c r="Q10" s="113" t="s">
        <v>1198</v>
      </c>
    </row>
    <row r="11" spans="1:17" s="10" customFormat="1" ht="11.25" customHeight="1">
      <c r="A11" s="552" t="s">
        <v>1199</v>
      </c>
      <c r="B11" s="552"/>
      <c r="C11" s="580">
        <v>4738.74</v>
      </c>
      <c r="D11" s="537" t="s">
        <v>836</v>
      </c>
      <c r="E11" s="580">
        <v>223.22</v>
      </c>
      <c r="F11" s="580">
        <v>2361.4899999999998</v>
      </c>
      <c r="G11" s="580">
        <v>1812.83</v>
      </c>
      <c r="H11" s="580">
        <v>3047.24</v>
      </c>
      <c r="I11" s="580">
        <v>1709.64</v>
      </c>
      <c r="J11" s="580">
        <v>766.98</v>
      </c>
      <c r="K11" s="580">
        <v>209.15</v>
      </c>
      <c r="L11" s="580">
        <f t="shared" si="0"/>
        <v>14869.289999999997</v>
      </c>
      <c r="M11" s="580">
        <v>120.37</v>
      </c>
      <c r="N11" s="580">
        <v>41.53</v>
      </c>
      <c r="O11" s="580">
        <v>97.68</v>
      </c>
      <c r="P11" s="580">
        <v>167.55</v>
      </c>
      <c r="Q11" s="553" t="s">
        <v>1199</v>
      </c>
    </row>
    <row r="12" spans="1:17" s="10" customFormat="1" ht="11.25" customHeight="1">
      <c r="A12" s="12" t="s">
        <v>1200</v>
      </c>
      <c r="B12" s="12"/>
      <c r="C12" s="19">
        <v>4253.84</v>
      </c>
      <c r="D12" s="21" t="s">
        <v>836</v>
      </c>
      <c r="E12" s="19">
        <v>261.12</v>
      </c>
      <c r="F12" s="19">
        <v>2605.4</v>
      </c>
      <c r="G12" s="19">
        <v>2107.83</v>
      </c>
      <c r="H12" s="19">
        <v>3064.28</v>
      </c>
      <c r="I12" s="19">
        <v>1709.41</v>
      </c>
      <c r="J12" s="19">
        <v>947.33</v>
      </c>
      <c r="K12" s="19">
        <v>173.74</v>
      </c>
      <c r="L12" s="19">
        <f t="shared" si="0"/>
        <v>15122.95</v>
      </c>
      <c r="M12" s="19">
        <v>56.82</v>
      </c>
      <c r="N12" s="19">
        <v>72.33</v>
      </c>
      <c r="O12" s="19">
        <v>105.51</v>
      </c>
      <c r="P12" s="19">
        <v>179.71</v>
      </c>
      <c r="Q12" s="113" t="s">
        <v>1200</v>
      </c>
    </row>
    <row r="13" spans="1:17" s="10" customFormat="1" ht="11.25" customHeight="1">
      <c r="A13" s="552" t="s">
        <v>1201</v>
      </c>
      <c r="B13" s="552"/>
      <c r="C13" s="580">
        <v>5100.6899999999996</v>
      </c>
      <c r="D13" s="537" t="s">
        <v>836</v>
      </c>
      <c r="E13" s="580">
        <v>275.06</v>
      </c>
      <c r="F13" s="580">
        <v>3500.82</v>
      </c>
      <c r="G13" s="580">
        <v>2700.53</v>
      </c>
      <c r="H13" s="580">
        <v>3679.74</v>
      </c>
      <c r="I13" s="580">
        <v>2114.14</v>
      </c>
      <c r="J13" s="580">
        <v>1255.26</v>
      </c>
      <c r="K13" s="580">
        <v>148.51</v>
      </c>
      <c r="L13" s="580">
        <f t="shared" si="0"/>
        <v>18774.749999999996</v>
      </c>
      <c r="M13" s="580">
        <v>123.32</v>
      </c>
      <c r="N13" s="580">
        <v>68.39</v>
      </c>
      <c r="O13" s="580">
        <v>111.64</v>
      </c>
      <c r="P13" s="580">
        <v>192.06</v>
      </c>
      <c r="Q13" s="553" t="s">
        <v>1258</v>
      </c>
    </row>
    <row r="14" spans="1:17" s="10" customFormat="1" ht="11.25" customHeight="1">
      <c r="A14" s="12" t="s">
        <v>1202</v>
      </c>
      <c r="B14" s="12"/>
      <c r="C14" s="19">
        <v>5395.08</v>
      </c>
      <c r="D14" s="21" t="s">
        <v>836</v>
      </c>
      <c r="E14" s="19">
        <v>292.5</v>
      </c>
      <c r="F14" s="19">
        <v>3789.08</v>
      </c>
      <c r="G14" s="19">
        <v>3229.43</v>
      </c>
      <c r="H14" s="19">
        <v>3757.81</v>
      </c>
      <c r="I14" s="19">
        <v>2275.85</v>
      </c>
      <c r="J14" s="19">
        <v>1331.84</v>
      </c>
      <c r="K14" s="19">
        <v>152.81</v>
      </c>
      <c r="L14" s="19">
        <f t="shared" si="0"/>
        <v>20224.400000000001</v>
      </c>
      <c r="M14" s="19">
        <v>96.55</v>
      </c>
      <c r="N14" s="19">
        <v>68.599999999999994</v>
      </c>
      <c r="O14" s="19">
        <v>125.67</v>
      </c>
      <c r="P14" s="19">
        <v>201.73</v>
      </c>
      <c r="Q14" s="113" t="s">
        <v>1259</v>
      </c>
    </row>
    <row r="15" spans="1:17" s="10" customFormat="1" ht="11.25" customHeight="1">
      <c r="A15" s="552" t="s">
        <v>1203</v>
      </c>
      <c r="B15" s="552"/>
      <c r="C15" s="580">
        <v>6679.43</v>
      </c>
      <c r="D15" s="537" t="s">
        <v>836</v>
      </c>
      <c r="E15" s="580">
        <v>218.27</v>
      </c>
      <c r="F15" s="580">
        <v>4235.57</v>
      </c>
      <c r="G15" s="580">
        <v>3660.26</v>
      </c>
      <c r="H15" s="580">
        <v>4121.16</v>
      </c>
      <c r="I15" s="580">
        <v>3138.89</v>
      </c>
      <c r="J15" s="580">
        <v>1271.08</v>
      </c>
      <c r="K15" s="580">
        <v>229.81</v>
      </c>
      <c r="L15" s="580">
        <f t="shared" si="0"/>
        <v>23554.470000000005</v>
      </c>
      <c r="M15" s="580">
        <v>149.22999999999999</v>
      </c>
      <c r="N15" s="580">
        <v>76.95</v>
      </c>
      <c r="O15" s="580">
        <v>116.13</v>
      </c>
      <c r="P15" s="580">
        <v>261.73</v>
      </c>
      <c r="Q15" s="553" t="s">
        <v>1203</v>
      </c>
    </row>
    <row r="16" spans="1:17" s="10" customFormat="1" ht="11.25" customHeight="1">
      <c r="A16" s="12" t="s">
        <v>1204</v>
      </c>
      <c r="B16" s="12"/>
      <c r="C16" s="19">
        <v>7087.53</v>
      </c>
      <c r="D16" s="21" t="s">
        <v>836</v>
      </c>
      <c r="E16" s="19">
        <v>158.71</v>
      </c>
      <c r="F16" s="19">
        <v>4707.3599999999997</v>
      </c>
      <c r="G16" s="19">
        <v>4316.18</v>
      </c>
      <c r="H16" s="19">
        <v>4397.75</v>
      </c>
      <c r="I16" s="19">
        <v>3545.73</v>
      </c>
      <c r="J16" s="19">
        <v>1685.74</v>
      </c>
      <c r="K16" s="19">
        <v>293.79000000000002</v>
      </c>
      <c r="L16" s="19">
        <f t="shared" si="0"/>
        <v>26192.79</v>
      </c>
      <c r="M16" s="19">
        <v>142.16</v>
      </c>
      <c r="N16" s="19">
        <v>86.01</v>
      </c>
      <c r="O16" s="19">
        <v>106.56</v>
      </c>
      <c r="P16" s="19">
        <v>332.64</v>
      </c>
      <c r="Q16" s="113" t="s">
        <v>1204</v>
      </c>
    </row>
    <row r="17" spans="1:19" s="10" customFormat="1" ht="11.25" customHeight="1">
      <c r="A17" s="552" t="s">
        <v>1205</v>
      </c>
      <c r="B17" s="552"/>
      <c r="C17" s="580">
        <v>7912.85</v>
      </c>
      <c r="D17" s="537" t="s">
        <v>836</v>
      </c>
      <c r="E17" s="580">
        <v>144.38999999999999</v>
      </c>
      <c r="F17" s="580">
        <v>5577.09</v>
      </c>
      <c r="G17" s="580">
        <v>5111.93</v>
      </c>
      <c r="H17" s="580">
        <v>5347</v>
      </c>
      <c r="I17" s="580">
        <v>3702.81</v>
      </c>
      <c r="J17" s="580">
        <v>1853.46</v>
      </c>
      <c r="K17" s="580">
        <v>256.08999999999997</v>
      </c>
      <c r="L17" s="580">
        <f t="shared" si="0"/>
        <v>29905.620000000003</v>
      </c>
      <c r="M17" s="580">
        <v>182.03</v>
      </c>
      <c r="N17" s="580">
        <v>95.39</v>
      </c>
      <c r="O17" s="580">
        <v>127.7</v>
      </c>
      <c r="P17" s="580">
        <v>367.41</v>
      </c>
      <c r="Q17" s="553" t="s">
        <v>1205</v>
      </c>
    </row>
    <row r="18" spans="1:19" s="10" customFormat="1" ht="11.25" customHeight="1">
      <c r="A18" s="12" t="s">
        <v>1210</v>
      </c>
      <c r="B18" s="12"/>
      <c r="C18" s="19">
        <v>7824.27</v>
      </c>
      <c r="D18" s="21" t="s">
        <v>836</v>
      </c>
      <c r="E18" s="19">
        <v>161.16000000000003</v>
      </c>
      <c r="F18" s="19">
        <v>7141.5599999999995</v>
      </c>
      <c r="G18" s="19">
        <v>6472.29</v>
      </c>
      <c r="H18" s="19">
        <v>5883.79</v>
      </c>
      <c r="I18" s="19">
        <v>4665.76</v>
      </c>
      <c r="J18" s="19">
        <v>1563.3999999999999</v>
      </c>
      <c r="K18" s="19">
        <v>272.45000000000005</v>
      </c>
      <c r="L18" s="19">
        <v>33984.680000000008</v>
      </c>
      <c r="M18" s="19">
        <v>172.44</v>
      </c>
      <c r="N18" s="19">
        <v>129.82</v>
      </c>
      <c r="O18" s="19">
        <v>119.24000000000001</v>
      </c>
      <c r="P18" s="19">
        <v>383.83999999999992</v>
      </c>
      <c r="Q18" s="113" t="s">
        <v>1210</v>
      </c>
    </row>
    <row r="19" spans="1:19" s="10" customFormat="1" ht="11.25" customHeight="1">
      <c r="A19" s="552" t="s">
        <v>1219</v>
      </c>
      <c r="B19" s="552"/>
      <c r="C19" s="580">
        <v>8154.7599999999993</v>
      </c>
      <c r="D19" s="537" t="s">
        <v>836</v>
      </c>
      <c r="E19" s="580">
        <v>183.48</v>
      </c>
      <c r="F19" s="580">
        <v>8721.24</v>
      </c>
      <c r="G19" s="580">
        <v>7471.13</v>
      </c>
      <c r="H19" s="580">
        <v>6311.17</v>
      </c>
      <c r="I19" s="580">
        <v>4846.09</v>
      </c>
      <c r="J19" s="580">
        <v>1196.6300000000001</v>
      </c>
      <c r="K19" s="580">
        <v>334.82</v>
      </c>
      <c r="L19" s="580">
        <v>37219.32</v>
      </c>
      <c r="M19" s="580" t="s">
        <v>836</v>
      </c>
      <c r="N19" s="580">
        <v>62.149999999999991</v>
      </c>
      <c r="O19" s="580">
        <v>120.86999999999999</v>
      </c>
      <c r="P19" s="580" t="s">
        <v>836</v>
      </c>
      <c r="Q19" s="553" t="s">
        <v>1219</v>
      </c>
    </row>
    <row r="20" spans="1:19" s="10" customFormat="1" ht="11.25" customHeight="1">
      <c r="A20" s="12" t="s">
        <v>916</v>
      </c>
      <c r="B20" s="12"/>
      <c r="C20" s="19">
        <v>9608.4500000000007</v>
      </c>
      <c r="D20" s="21" t="s">
        <v>836</v>
      </c>
      <c r="E20" s="19">
        <v>214.13</v>
      </c>
      <c r="F20" s="19">
        <v>11748.539999999999</v>
      </c>
      <c r="G20" s="19">
        <v>9179.85</v>
      </c>
      <c r="H20" s="19">
        <v>8474.66</v>
      </c>
      <c r="I20" s="19">
        <v>6001.4099999999989</v>
      </c>
      <c r="J20" s="19">
        <v>1752.8599999999997</v>
      </c>
      <c r="K20" s="19">
        <v>455.76</v>
      </c>
      <c r="L20" s="19">
        <v>47435.659999999996</v>
      </c>
      <c r="M20" s="19" t="s">
        <v>836</v>
      </c>
      <c r="N20" s="19">
        <v>79.47</v>
      </c>
      <c r="O20" s="19">
        <v>135.05999999999997</v>
      </c>
      <c r="P20" s="19" t="s">
        <v>836</v>
      </c>
      <c r="Q20" s="113" t="s">
        <v>916</v>
      </c>
    </row>
    <row r="21" spans="1:19" s="11" customFormat="1" ht="11.25" customHeight="1">
      <c r="A21" s="552" t="s">
        <v>230</v>
      </c>
      <c r="B21" s="552"/>
      <c r="C21" s="537">
        <v>9371.1200000000008</v>
      </c>
      <c r="D21" s="537" t="s">
        <v>836</v>
      </c>
      <c r="E21" s="537">
        <v>238.34</v>
      </c>
      <c r="F21" s="537">
        <v>13857.74</v>
      </c>
      <c r="G21" s="537">
        <v>10965.4</v>
      </c>
      <c r="H21" s="537">
        <v>9181.44</v>
      </c>
      <c r="I21" s="537">
        <v>6173.43</v>
      </c>
      <c r="J21" s="537">
        <v>2318.2399999999998</v>
      </c>
      <c r="K21" s="537">
        <v>421.54</v>
      </c>
      <c r="L21" s="537">
        <f>C21+E21+F21+G21+H21+I21+J21+K21</f>
        <v>52527.25</v>
      </c>
      <c r="M21" s="537">
        <v>222.91</v>
      </c>
      <c r="N21" s="537">
        <v>56.62</v>
      </c>
      <c r="O21" s="537">
        <v>86.44</v>
      </c>
      <c r="P21" s="537" t="s">
        <v>836</v>
      </c>
      <c r="Q21" s="553" t="s">
        <v>230</v>
      </c>
    </row>
    <row r="22" spans="1:19" s="11" customFormat="1" ht="11.25" customHeight="1">
      <c r="A22" s="12" t="s">
        <v>220</v>
      </c>
      <c r="B22" s="12"/>
      <c r="C22" s="21">
        <v>8997.119999999999</v>
      </c>
      <c r="D22" s="21" t="s">
        <v>836</v>
      </c>
      <c r="E22" s="21">
        <v>347.49000000000007</v>
      </c>
      <c r="F22" s="21">
        <v>17042.28</v>
      </c>
      <c r="G22" s="21">
        <v>13816.849999999999</v>
      </c>
      <c r="H22" s="21">
        <v>10651.220000000001</v>
      </c>
      <c r="I22" s="21">
        <v>7593.34</v>
      </c>
      <c r="J22" s="21">
        <v>3203.1299999999997</v>
      </c>
      <c r="K22" s="21">
        <v>390.73</v>
      </c>
      <c r="L22" s="21">
        <v>62042.159999999989</v>
      </c>
      <c r="M22" s="21">
        <v>357.61000000000007</v>
      </c>
      <c r="N22" s="21">
        <v>46.46</v>
      </c>
      <c r="O22" s="21">
        <v>342.97</v>
      </c>
      <c r="P22" s="21" t="s">
        <v>836</v>
      </c>
      <c r="Q22" s="113" t="s">
        <v>220</v>
      </c>
    </row>
    <row r="23" spans="1:19" s="11" customFormat="1" ht="11.25" customHeight="1">
      <c r="A23" s="552" t="s">
        <v>489</v>
      </c>
      <c r="B23" s="552"/>
      <c r="C23" s="537">
        <v>11574.13</v>
      </c>
      <c r="D23" s="537">
        <v>28.710000000000004</v>
      </c>
      <c r="E23" s="537">
        <v>486.18</v>
      </c>
      <c r="F23" s="537">
        <v>23007.520000000004</v>
      </c>
      <c r="G23" s="537">
        <v>17827.949999999997</v>
      </c>
      <c r="H23" s="537">
        <v>12375.810000000001</v>
      </c>
      <c r="I23" s="537">
        <v>9701.1600000000017</v>
      </c>
      <c r="J23" s="537">
        <v>3998.71</v>
      </c>
      <c r="K23" s="537">
        <v>402.94000000000005</v>
      </c>
      <c r="L23" s="537">
        <v>79403.11</v>
      </c>
      <c r="M23" s="537">
        <v>243.66</v>
      </c>
      <c r="N23" s="537">
        <v>57.26</v>
      </c>
      <c r="O23" s="537">
        <v>175.67000000000002</v>
      </c>
      <c r="P23" s="537">
        <v>1476.8200000000002</v>
      </c>
      <c r="Q23" s="553" t="s">
        <v>489</v>
      </c>
    </row>
    <row r="24" spans="1:19" s="11" customFormat="1" ht="11.25" customHeight="1">
      <c r="A24" s="449" t="s">
        <v>1580</v>
      </c>
      <c r="B24" s="449"/>
      <c r="C24" s="43">
        <v>13153.5</v>
      </c>
      <c r="D24" s="43">
        <v>38.950000000000003</v>
      </c>
      <c r="E24" s="43">
        <v>660.36</v>
      </c>
      <c r="F24" s="43">
        <v>28652.63</v>
      </c>
      <c r="G24" s="43">
        <v>21984.81</v>
      </c>
      <c r="H24" s="43">
        <v>13792.62</v>
      </c>
      <c r="I24" s="43">
        <v>11923.97</v>
      </c>
      <c r="J24" s="43">
        <v>4367.71</v>
      </c>
      <c r="K24" s="43">
        <v>484.44</v>
      </c>
      <c r="L24" s="43">
        <v>95058.99</v>
      </c>
      <c r="M24" s="43">
        <v>407.8</v>
      </c>
      <c r="N24" s="43">
        <v>64.63</v>
      </c>
      <c r="O24" s="43">
        <v>217.14</v>
      </c>
      <c r="P24" s="43">
        <v>2018.8599999999997</v>
      </c>
      <c r="Q24" s="451" t="s">
        <v>1580</v>
      </c>
      <c r="S24" s="307"/>
    </row>
    <row r="25" spans="1:19" s="11" customFormat="1" ht="11.25" customHeight="1">
      <c r="A25" s="552" t="s">
        <v>1809</v>
      </c>
      <c r="B25" s="552"/>
      <c r="C25" s="537">
        <v>13322.45</v>
      </c>
      <c r="D25" s="537">
        <v>33.47</v>
      </c>
      <c r="E25" s="537">
        <v>772.53</v>
      </c>
      <c r="F25" s="537">
        <v>37120.65</v>
      </c>
      <c r="G25" s="537">
        <v>26367.260000000002</v>
      </c>
      <c r="H25" s="537">
        <v>14846.48</v>
      </c>
      <c r="I25" s="537">
        <v>11985.29</v>
      </c>
      <c r="J25" s="537">
        <v>4205.01</v>
      </c>
      <c r="K25" s="537">
        <v>498.59</v>
      </c>
      <c r="L25" s="537">
        <v>109151.73</v>
      </c>
      <c r="M25" s="537">
        <v>293.5</v>
      </c>
      <c r="N25" s="537">
        <v>75.7</v>
      </c>
      <c r="O25" s="537">
        <v>166.19</v>
      </c>
      <c r="P25" s="537">
        <v>2015.1900000000003</v>
      </c>
      <c r="Q25" s="553" t="s">
        <v>1809</v>
      </c>
      <c r="S25" s="307"/>
    </row>
    <row r="26" spans="1:19" s="482" customFormat="1" ht="11.25" customHeight="1">
      <c r="A26" s="818" t="s">
        <v>2226</v>
      </c>
      <c r="B26" s="409"/>
      <c r="C26" s="259">
        <f t="shared" ref="C26:O26" si="1">SUM(C27:C38)</f>
        <v>13650.83</v>
      </c>
      <c r="D26" s="259">
        <f t="shared" si="1"/>
        <v>41.980000000000004</v>
      </c>
      <c r="E26" s="259">
        <f t="shared" si="1"/>
        <v>822.39</v>
      </c>
      <c r="F26" s="259">
        <f t="shared" si="1"/>
        <v>43207.27</v>
      </c>
      <c r="G26" s="259">
        <f t="shared" si="1"/>
        <v>29252.109999999997</v>
      </c>
      <c r="H26" s="259">
        <f t="shared" si="1"/>
        <v>15325.119999999999</v>
      </c>
      <c r="I26" s="259">
        <f t="shared" si="1"/>
        <v>13647.190000000002</v>
      </c>
      <c r="J26" s="259">
        <f t="shared" si="1"/>
        <v>4335.7699999999995</v>
      </c>
      <c r="K26" s="259">
        <f t="shared" si="1"/>
        <v>643.71</v>
      </c>
      <c r="L26" s="259">
        <f t="shared" si="1"/>
        <v>120819.84999999998</v>
      </c>
      <c r="M26" s="259">
        <f t="shared" si="1"/>
        <v>424.8</v>
      </c>
      <c r="N26" s="259">
        <f t="shared" si="1"/>
        <v>71.41</v>
      </c>
      <c r="O26" s="259">
        <f t="shared" si="1"/>
        <v>219.57</v>
      </c>
      <c r="P26" s="259">
        <f>SUM(P27:P38)</f>
        <v>2214.5200000000004</v>
      </c>
      <c r="Q26" s="929" t="s">
        <v>2226</v>
      </c>
      <c r="S26" s="483"/>
    </row>
    <row r="27" spans="1:19" s="482" customFormat="1" ht="11.25" hidden="1" customHeight="1">
      <c r="A27" s="943" t="s">
        <v>1211</v>
      </c>
      <c r="B27" s="928"/>
      <c r="C27" s="531">
        <v>1199.58</v>
      </c>
      <c r="D27" s="531">
        <v>4.45</v>
      </c>
      <c r="E27" s="531">
        <v>12.09</v>
      </c>
      <c r="F27" s="531">
        <v>1864.65</v>
      </c>
      <c r="G27" s="531">
        <v>2048.8200000000002</v>
      </c>
      <c r="H27" s="531">
        <v>1366.07</v>
      </c>
      <c r="I27" s="531">
        <v>837.62</v>
      </c>
      <c r="J27" s="531">
        <v>413.67</v>
      </c>
      <c r="K27" s="531">
        <f>0.32+48.76+0.07</f>
        <v>49.15</v>
      </c>
      <c r="L27" s="537">
        <v>7786.55</v>
      </c>
      <c r="M27" s="537">
        <v>14.33</v>
      </c>
      <c r="N27" s="537">
        <v>3.8</v>
      </c>
      <c r="O27" s="537">
        <v>15.7</v>
      </c>
      <c r="P27" s="537">
        <v>181.3</v>
      </c>
      <c r="Q27" s="604" t="s">
        <v>1211</v>
      </c>
    </row>
    <row r="28" spans="1:19" s="482" customFormat="1" ht="11.25" hidden="1" customHeight="1">
      <c r="A28" s="884" t="s">
        <v>1212</v>
      </c>
      <c r="B28" s="409"/>
      <c r="C28" s="483">
        <v>948.4</v>
      </c>
      <c r="D28" s="483">
        <v>4.6500000000000004</v>
      </c>
      <c r="E28" s="483">
        <v>16.489999999999998</v>
      </c>
      <c r="F28" s="483">
        <v>1986.81</v>
      </c>
      <c r="G28" s="483">
        <v>1897.02</v>
      </c>
      <c r="H28" s="483">
        <v>1081.47</v>
      </c>
      <c r="I28" s="483">
        <v>937.38</v>
      </c>
      <c r="J28" s="483">
        <v>295.95999999999998</v>
      </c>
      <c r="K28" s="483">
        <f>0.21+46.82</f>
        <v>47.03</v>
      </c>
      <c r="L28" s="43">
        <v>7207.45</v>
      </c>
      <c r="M28" s="43">
        <v>14.06</v>
      </c>
      <c r="N28" s="43">
        <v>3.57</v>
      </c>
      <c r="O28" s="43">
        <v>9.86</v>
      </c>
      <c r="P28" s="43">
        <v>143.91</v>
      </c>
      <c r="Q28" s="485" t="s">
        <v>1212</v>
      </c>
    </row>
    <row r="29" spans="1:19" s="482" customFormat="1" ht="11.25" hidden="1" customHeight="1">
      <c r="A29" s="950" t="s">
        <v>1206</v>
      </c>
      <c r="B29" s="952"/>
      <c r="C29" s="531">
        <v>1165.24</v>
      </c>
      <c r="D29" s="531">
        <v>3.17</v>
      </c>
      <c r="E29" s="531">
        <v>15.68</v>
      </c>
      <c r="F29" s="531">
        <v>3460.6</v>
      </c>
      <c r="G29" s="531">
        <v>2173.23</v>
      </c>
      <c r="H29" s="531">
        <v>1267.44</v>
      </c>
      <c r="I29" s="531">
        <v>1137.22</v>
      </c>
      <c r="J29" s="531">
        <v>388.41</v>
      </c>
      <c r="K29" s="531">
        <f>0.35+49.21</f>
        <v>49.56</v>
      </c>
      <c r="L29" s="537">
        <v>9659.98</v>
      </c>
      <c r="M29" s="537">
        <v>17.68</v>
      </c>
      <c r="N29" s="537">
        <v>7.83</v>
      </c>
      <c r="O29" s="537">
        <v>11.4</v>
      </c>
      <c r="P29" s="537">
        <v>154.87</v>
      </c>
      <c r="Q29" s="604" t="s">
        <v>1206</v>
      </c>
    </row>
    <row r="30" spans="1:19" s="482" customFormat="1" ht="11.25" hidden="1" customHeight="1">
      <c r="A30" s="884" t="s">
        <v>1213</v>
      </c>
      <c r="B30" s="409"/>
      <c r="C30" s="483">
        <v>1024.71</v>
      </c>
      <c r="D30" s="483">
        <v>4.0199999999999996</v>
      </c>
      <c r="E30" s="483">
        <v>14.61</v>
      </c>
      <c r="F30" s="483">
        <v>2958.56</v>
      </c>
      <c r="G30" s="483">
        <v>2098.9899999999998</v>
      </c>
      <c r="H30" s="483">
        <v>1158.49</v>
      </c>
      <c r="I30" s="483">
        <v>1226.71</v>
      </c>
      <c r="J30" s="483">
        <v>357.14</v>
      </c>
      <c r="K30" s="483">
        <f>0.29+61.67</f>
        <v>61.96</v>
      </c>
      <c r="L30" s="43">
        <v>8904.08</v>
      </c>
      <c r="M30" s="43">
        <v>16.62</v>
      </c>
      <c r="N30" s="43">
        <v>2.87</v>
      </c>
      <c r="O30" s="43">
        <v>10.57</v>
      </c>
      <c r="P30" s="43">
        <v>124.78</v>
      </c>
      <c r="Q30" s="485" t="s">
        <v>1213</v>
      </c>
    </row>
    <row r="31" spans="1:19" s="482" customFormat="1" ht="11.25" hidden="1" customHeight="1">
      <c r="A31" s="964" t="s">
        <v>1214</v>
      </c>
      <c r="B31" s="953"/>
      <c r="C31" s="531">
        <v>983.15</v>
      </c>
      <c r="D31" s="531">
        <v>2.3199999999999998</v>
      </c>
      <c r="E31" s="531">
        <v>16</v>
      </c>
      <c r="F31" s="531">
        <v>2600.62</v>
      </c>
      <c r="G31" s="531">
        <v>2111.0300000000002</v>
      </c>
      <c r="H31" s="531">
        <v>1176.33</v>
      </c>
      <c r="I31" s="531">
        <v>1067.47</v>
      </c>
      <c r="J31" s="531">
        <v>344.03</v>
      </c>
      <c r="K31" s="531">
        <f>0.25+53.91+0.08</f>
        <v>54.239999999999995</v>
      </c>
      <c r="L31" s="537">
        <v>8332.7199999999993</v>
      </c>
      <c r="M31" s="537">
        <v>22.08</v>
      </c>
      <c r="N31" s="537">
        <v>5.48</v>
      </c>
      <c r="O31" s="537">
        <v>10.98</v>
      </c>
      <c r="P31" s="537">
        <v>166.67</v>
      </c>
      <c r="Q31" s="604" t="s">
        <v>1214</v>
      </c>
    </row>
    <row r="32" spans="1:19" s="482" customFormat="1" ht="11.25" hidden="1" customHeight="1">
      <c r="A32" s="884" t="s">
        <v>1207</v>
      </c>
      <c r="B32" s="409"/>
      <c r="C32" s="483">
        <v>1078.6600000000001</v>
      </c>
      <c r="D32" s="483">
        <v>4.33</v>
      </c>
      <c r="E32" s="483">
        <v>15.67</v>
      </c>
      <c r="F32" s="483">
        <v>3024.31</v>
      </c>
      <c r="G32" s="483">
        <v>2125.41</v>
      </c>
      <c r="H32" s="483">
        <v>1192.27</v>
      </c>
      <c r="I32" s="483">
        <v>1011.24</v>
      </c>
      <c r="J32" s="483">
        <v>288.22000000000003</v>
      </c>
      <c r="K32" s="483">
        <f>0.42+51.11</f>
        <v>51.53</v>
      </c>
      <c r="L32" s="43">
        <v>8784.6299999999992</v>
      </c>
      <c r="M32" s="43">
        <v>34.869999999999997</v>
      </c>
      <c r="N32" s="43">
        <v>5.24</v>
      </c>
      <c r="O32" s="43">
        <v>10.85</v>
      </c>
      <c r="P32" s="43">
        <v>256.39</v>
      </c>
      <c r="Q32" s="485" t="s">
        <v>1207</v>
      </c>
    </row>
    <row r="33" spans="1:19" s="482" customFormat="1" ht="11.25" hidden="1" customHeight="1">
      <c r="A33" s="1020" t="s">
        <v>1215</v>
      </c>
      <c r="B33" s="953"/>
      <c r="C33" s="531">
        <v>1085.03</v>
      </c>
      <c r="D33" s="531">
        <v>4.28</v>
      </c>
      <c r="E33" s="531">
        <v>242.1</v>
      </c>
      <c r="F33" s="531">
        <v>2742.06</v>
      </c>
      <c r="G33" s="531">
        <v>2293.84</v>
      </c>
      <c r="H33" s="531">
        <v>1221.1600000000001</v>
      </c>
      <c r="I33" s="531">
        <v>1219.8699999999999</v>
      </c>
      <c r="J33" s="531">
        <v>318.43</v>
      </c>
      <c r="K33" s="531">
        <f>0.46+48.96</f>
        <v>49.42</v>
      </c>
      <c r="L33" s="537">
        <v>9159.4500000000007</v>
      </c>
      <c r="M33" s="537">
        <v>29.18</v>
      </c>
      <c r="N33" s="537">
        <v>5.83</v>
      </c>
      <c r="O33" s="537">
        <v>12.21</v>
      </c>
      <c r="P33" s="537">
        <v>160.88</v>
      </c>
      <c r="Q33" s="604" t="s">
        <v>1215</v>
      </c>
    </row>
    <row r="34" spans="1:19" s="482" customFormat="1" ht="11.25" hidden="1" customHeight="1">
      <c r="A34" s="884" t="s">
        <v>1216</v>
      </c>
      <c r="B34" s="409"/>
      <c r="C34" s="483">
        <v>1043.45</v>
      </c>
      <c r="D34" s="483">
        <v>2.62</v>
      </c>
      <c r="E34" s="483">
        <v>367.99</v>
      </c>
      <c r="F34" s="483">
        <v>2514.8200000000002</v>
      </c>
      <c r="G34" s="483">
        <v>2242.4699999999998</v>
      </c>
      <c r="H34" s="483">
        <v>1255.94</v>
      </c>
      <c r="I34" s="483">
        <v>1066.67</v>
      </c>
      <c r="J34" s="483">
        <v>325.12</v>
      </c>
      <c r="K34" s="483">
        <f>0.36+48.45+0.01</f>
        <v>48.82</v>
      </c>
      <c r="L34" s="43">
        <v>8863.8700000000008</v>
      </c>
      <c r="M34" s="43">
        <v>28.49</v>
      </c>
      <c r="N34" s="43">
        <v>6.55</v>
      </c>
      <c r="O34" s="43">
        <v>11.19</v>
      </c>
      <c r="P34" s="43">
        <v>184.06</v>
      </c>
      <c r="Q34" s="485" t="s">
        <v>1216</v>
      </c>
    </row>
    <row r="35" spans="1:19" s="482" customFormat="1" ht="11.25" hidden="1" customHeight="1">
      <c r="A35" s="1023" t="s">
        <v>1208</v>
      </c>
      <c r="B35" s="953"/>
      <c r="C35" s="531">
        <v>1150.6300000000001</v>
      </c>
      <c r="D35" s="531">
        <v>2.08</v>
      </c>
      <c r="E35" s="531">
        <v>72.040000000000006</v>
      </c>
      <c r="F35" s="531">
        <v>4133.7299999999996</v>
      </c>
      <c r="G35" s="531">
        <v>2545.7800000000002</v>
      </c>
      <c r="H35" s="531">
        <v>1210.0999999999999</v>
      </c>
      <c r="I35" s="531">
        <v>1281.1600000000001</v>
      </c>
      <c r="J35" s="531">
        <v>340.15</v>
      </c>
      <c r="K35" s="531">
        <f>0.51+50.93+0.01</f>
        <v>51.449999999999996</v>
      </c>
      <c r="L35" s="537">
        <v>10778.77</v>
      </c>
      <c r="M35" s="537">
        <v>30.77</v>
      </c>
      <c r="N35" s="537">
        <v>8.1300000000000008</v>
      </c>
      <c r="O35" s="537">
        <v>13.34</v>
      </c>
      <c r="P35" s="537">
        <v>196.27</v>
      </c>
      <c r="Q35" s="604" t="s">
        <v>1208</v>
      </c>
    </row>
    <row r="36" spans="1:19" s="482" customFormat="1" ht="11.25" hidden="1" customHeight="1">
      <c r="A36" s="884" t="s">
        <v>1217</v>
      </c>
      <c r="B36" s="409"/>
      <c r="C36" s="483">
        <v>1286.6300000000001</v>
      </c>
      <c r="D36" s="483">
        <v>3.38</v>
      </c>
      <c r="E36" s="483">
        <v>13.33</v>
      </c>
      <c r="F36" s="483">
        <v>4006.85</v>
      </c>
      <c r="G36" s="483">
        <v>2912.01</v>
      </c>
      <c r="H36" s="483">
        <v>1325.05</v>
      </c>
      <c r="I36" s="483">
        <v>1370.79</v>
      </c>
      <c r="J36" s="483">
        <v>403.41</v>
      </c>
      <c r="K36" s="483">
        <f>56.91+0.01+0.44</f>
        <v>57.359999999999992</v>
      </c>
      <c r="L36" s="483">
        <v>11369.96</v>
      </c>
      <c r="M36" s="483">
        <v>88.5</v>
      </c>
      <c r="N36" s="483">
        <v>7.16</v>
      </c>
      <c r="O36" s="483">
        <v>12.35</v>
      </c>
      <c r="P36" s="483">
        <v>224.42</v>
      </c>
      <c r="Q36" s="485" t="s">
        <v>1217</v>
      </c>
    </row>
    <row r="37" spans="1:19" s="482" customFormat="1" ht="11.25" hidden="1" customHeight="1">
      <c r="A37" s="1045" t="s">
        <v>1218</v>
      </c>
      <c r="B37" s="953"/>
      <c r="C37" s="531">
        <v>1276.6500000000001</v>
      </c>
      <c r="D37" s="531">
        <v>2.79</v>
      </c>
      <c r="E37" s="531">
        <v>19.68</v>
      </c>
      <c r="F37" s="531">
        <v>4738.37</v>
      </c>
      <c r="G37" s="531">
        <v>3257.6</v>
      </c>
      <c r="H37" s="531">
        <v>1420.74</v>
      </c>
      <c r="I37" s="531">
        <v>1315.1</v>
      </c>
      <c r="J37" s="531">
        <v>438.13</v>
      </c>
      <c r="K37" s="531">
        <f>55.8+0.01+0.4</f>
        <v>56.209999999999994</v>
      </c>
      <c r="L37" s="531">
        <v>12516.46</v>
      </c>
      <c r="M37" s="531">
        <v>37.65</v>
      </c>
      <c r="N37" s="531">
        <v>6.64</v>
      </c>
      <c r="O37" s="531">
        <v>13.89</v>
      </c>
      <c r="P37" s="531">
        <v>210.72</v>
      </c>
      <c r="Q37" s="604" t="s">
        <v>1218</v>
      </c>
    </row>
    <row r="38" spans="1:19" s="482" customFormat="1" ht="11.25" hidden="1" customHeight="1">
      <c r="A38" s="884" t="s">
        <v>1209</v>
      </c>
      <c r="B38" s="409"/>
      <c r="C38" s="483">
        <v>1408.7</v>
      </c>
      <c r="D38" s="483">
        <v>3.89</v>
      </c>
      <c r="E38" s="483">
        <v>16.71</v>
      </c>
      <c r="F38" s="483">
        <v>9175.89</v>
      </c>
      <c r="G38" s="483">
        <v>3545.91</v>
      </c>
      <c r="H38" s="483">
        <v>1650.06</v>
      </c>
      <c r="I38" s="483">
        <v>1175.96</v>
      </c>
      <c r="J38" s="483">
        <v>423.1</v>
      </c>
      <c r="K38" s="483">
        <f>0.71+0.01+66.26</f>
        <v>66.98</v>
      </c>
      <c r="L38" s="483">
        <v>17455.93</v>
      </c>
      <c r="M38" s="483">
        <v>90.57</v>
      </c>
      <c r="N38" s="483">
        <v>8.31</v>
      </c>
      <c r="O38" s="483">
        <v>87.23</v>
      </c>
      <c r="P38" s="483">
        <v>210.25</v>
      </c>
      <c r="Q38" s="485" t="s">
        <v>1209</v>
      </c>
    </row>
    <row r="39" spans="1:19" s="918" customFormat="1" ht="11.25" customHeight="1">
      <c r="A39" s="1556" t="s">
        <v>2376</v>
      </c>
      <c r="B39" s="939"/>
      <c r="C39" s="641">
        <f>SUM(C40:C51)</f>
        <v>15354.960000000003</v>
      </c>
      <c r="D39" s="641">
        <f t="shared" ref="D39:L39" si="2">SUM(D40:D51)</f>
        <v>40.54</v>
      </c>
      <c r="E39" s="641">
        <f t="shared" si="2"/>
        <v>960.37999999999988</v>
      </c>
      <c r="F39" s="641">
        <f t="shared" si="2"/>
        <v>48841.86</v>
      </c>
      <c r="G39" s="641">
        <f t="shared" si="2"/>
        <v>32290.130000000005</v>
      </c>
      <c r="H39" s="641">
        <f t="shared" si="2"/>
        <v>17676.21</v>
      </c>
      <c r="I39" s="641">
        <f t="shared" si="2"/>
        <v>15758.320000000003</v>
      </c>
      <c r="J39" s="641">
        <f t="shared" si="2"/>
        <v>5249.9299999999994</v>
      </c>
      <c r="K39" s="641">
        <f t="shared" si="2"/>
        <v>892.15</v>
      </c>
      <c r="L39" s="641">
        <f t="shared" si="2"/>
        <v>137064.48000000001</v>
      </c>
      <c r="M39" s="542">
        <f t="shared" ref="M39:O39" si="3">SUM(M40:M51)</f>
        <v>362.66</v>
      </c>
      <c r="N39" s="542">
        <f t="shared" si="3"/>
        <v>86.53</v>
      </c>
      <c r="O39" s="542">
        <f t="shared" si="3"/>
        <v>253.13</v>
      </c>
      <c r="P39" s="542">
        <f>SUM(P40:P51)</f>
        <v>2139.31</v>
      </c>
      <c r="Q39" s="1065" t="s">
        <v>2376</v>
      </c>
      <c r="S39" s="659"/>
    </row>
    <row r="40" spans="1:19" s="482" customFormat="1" ht="11.25" customHeight="1">
      <c r="A40" s="884" t="s">
        <v>1211</v>
      </c>
      <c r="B40" s="409"/>
      <c r="C40" s="483">
        <v>1035.8599999999999</v>
      </c>
      <c r="D40" s="483">
        <v>4.17</v>
      </c>
      <c r="E40" s="483">
        <v>12.89</v>
      </c>
      <c r="F40" s="483">
        <v>2023.64</v>
      </c>
      <c r="G40" s="483">
        <v>2273.58</v>
      </c>
      <c r="H40" s="483">
        <v>1306.5899999999999</v>
      </c>
      <c r="I40" s="483">
        <v>809.81</v>
      </c>
      <c r="J40" s="483">
        <v>427.56</v>
      </c>
      <c r="K40" s="483">
        <f>58.4+0.25+11.72</f>
        <v>70.37</v>
      </c>
      <c r="L40" s="483">
        <f>SUM(C40:K40)</f>
        <v>7964.4700000000012</v>
      </c>
      <c r="M40" s="483">
        <v>10.68</v>
      </c>
      <c r="N40" s="483">
        <v>3.39</v>
      </c>
      <c r="O40" s="483">
        <v>15.11</v>
      </c>
      <c r="P40" s="483">
        <v>125.89</v>
      </c>
      <c r="Q40" s="485" t="s">
        <v>1211</v>
      </c>
      <c r="R40" s="483"/>
    </row>
    <row r="41" spans="1:19" s="482" customFormat="1" ht="11.25" customHeight="1">
      <c r="A41" s="1092" t="s">
        <v>1212</v>
      </c>
      <c r="B41" s="953"/>
      <c r="C41" s="531">
        <v>1261</v>
      </c>
      <c r="D41" s="531">
        <v>3.39</v>
      </c>
      <c r="E41" s="531">
        <v>12.16</v>
      </c>
      <c r="F41" s="531">
        <v>2300.29</v>
      </c>
      <c r="G41" s="531">
        <v>2206.0100000000002</v>
      </c>
      <c r="H41" s="531">
        <v>1370.29</v>
      </c>
      <c r="I41" s="531">
        <v>1221.1099999999999</v>
      </c>
      <c r="J41" s="531">
        <v>451.18</v>
      </c>
      <c r="K41" s="531">
        <f>58.33+0.27</f>
        <v>58.6</v>
      </c>
      <c r="L41" s="531">
        <f>SUM(C41:K41)</f>
        <v>8884.0300000000007</v>
      </c>
      <c r="M41" s="531">
        <v>15.71</v>
      </c>
      <c r="N41" s="531">
        <v>5.14</v>
      </c>
      <c r="O41" s="531">
        <v>13.06</v>
      </c>
      <c r="P41" s="531">
        <v>151.58000000000001</v>
      </c>
      <c r="Q41" s="604" t="s">
        <v>1212</v>
      </c>
      <c r="R41" s="483"/>
    </row>
    <row r="42" spans="1:19" s="482" customFormat="1" ht="11.25" customHeight="1">
      <c r="A42" s="884" t="s">
        <v>1206</v>
      </c>
      <c r="B42" s="409"/>
      <c r="C42" s="483">
        <v>1311.14</v>
      </c>
      <c r="D42" s="483">
        <v>5.16</v>
      </c>
      <c r="E42" s="483">
        <v>16.73</v>
      </c>
      <c r="F42" s="483">
        <v>4112.09</v>
      </c>
      <c r="G42" s="483">
        <v>2448.4299999999998</v>
      </c>
      <c r="H42" s="483">
        <v>1474.78</v>
      </c>
      <c r="I42" s="483">
        <v>1463.96</v>
      </c>
      <c r="J42" s="483">
        <v>449.43</v>
      </c>
      <c r="K42" s="483">
        <f>88.76+0.37</f>
        <v>89.13000000000001</v>
      </c>
      <c r="L42" s="483">
        <f>SUM(C42:K42)</f>
        <v>11370.85</v>
      </c>
      <c r="M42" s="483">
        <v>21.07</v>
      </c>
      <c r="N42" s="483">
        <v>4.95</v>
      </c>
      <c r="O42" s="483">
        <v>15.17</v>
      </c>
      <c r="P42" s="483">
        <v>164.81</v>
      </c>
      <c r="Q42" s="485" t="s">
        <v>1206</v>
      </c>
      <c r="R42" s="483"/>
    </row>
    <row r="43" spans="1:19" s="482" customFormat="1" ht="11.25" customHeight="1">
      <c r="A43" s="1113" t="s">
        <v>1213</v>
      </c>
      <c r="B43" s="953"/>
      <c r="C43" s="531">
        <v>1034.5</v>
      </c>
      <c r="D43" s="531">
        <v>7.65</v>
      </c>
      <c r="E43" s="531">
        <v>17.8</v>
      </c>
      <c r="F43" s="531">
        <v>3242.49</v>
      </c>
      <c r="G43" s="531">
        <v>2535.17</v>
      </c>
      <c r="H43" s="531">
        <v>1270.44</v>
      </c>
      <c r="I43" s="531">
        <v>1250.8399999999999</v>
      </c>
      <c r="J43" s="531">
        <v>344.37</v>
      </c>
      <c r="K43" s="531">
        <f>0.37+77.23</f>
        <v>77.600000000000009</v>
      </c>
      <c r="L43" s="531">
        <f t="shared" ref="L43:L66" si="4">SUM(C43:K43)</f>
        <v>9780.86</v>
      </c>
      <c r="M43" s="531">
        <v>21.25</v>
      </c>
      <c r="N43" s="531">
        <v>4.92</v>
      </c>
      <c r="O43" s="531">
        <v>12.32</v>
      </c>
      <c r="P43" s="531">
        <v>110.18</v>
      </c>
      <c r="Q43" s="604" t="s">
        <v>1213</v>
      </c>
      <c r="R43" s="483"/>
    </row>
    <row r="44" spans="1:19" s="482" customFormat="1" ht="11.25" customHeight="1">
      <c r="A44" s="884" t="s">
        <v>1214</v>
      </c>
      <c r="B44" s="409"/>
      <c r="C44" s="483">
        <v>1154.1099999999999</v>
      </c>
      <c r="D44" s="483">
        <v>7.84</v>
      </c>
      <c r="E44" s="483">
        <v>15.33</v>
      </c>
      <c r="F44" s="483">
        <v>2948.39</v>
      </c>
      <c r="G44" s="483">
        <v>2534.0700000000002</v>
      </c>
      <c r="H44" s="483">
        <v>1336.4</v>
      </c>
      <c r="I44" s="483">
        <v>1250.53</v>
      </c>
      <c r="J44" s="483">
        <v>407.14</v>
      </c>
      <c r="K44" s="483">
        <f>0.27+75.79</f>
        <v>76.06</v>
      </c>
      <c r="L44" s="483">
        <f>SUM(C44:K44)</f>
        <v>9729.869999999999</v>
      </c>
      <c r="M44" s="483">
        <v>28.96</v>
      </c>
      <c r="N44" s="483">
        <v>7.99</v>
      </c>
      <c r="O44" s="483">
        <v>14.36</v>
      </c>
      <c r="P44" s="483">
        <v>323.43</v>
      </c>
      <c r="Q44" s="485" t="s">
        <v>1214</v>
      </c>
      <c r="R44" s="483"/>
    </row>
    <row r="45" spans="1:19" s="482" customFormat="1" ht="11.25" customHeight="1">
      <c r="A45" s="1150" t="s">
        <v>1207</v>
      </c>
      <c r="B45" s="953"/>
      <c r="C45" s="531">
        <v>1224.0899999999999</v>
      </c>
      <c r="D45" s="531">
        <v>3.34</v>
      </c>
      <c r="E45" s="531">
        <v>19.03</v>
      </c>
      <c r="F45" s="531">
        <v>4094.3</v>
      </c>
      <c r="G45" s="531">
        <v>2651.06</v>
      </c>
      <c r="H45" s="531">
        <v>1521.47</v>
      </c>
      <c r="I45" s="531">
        <v>1356.27</v>
      </c>
      <c r="J45" s="531">
        <v>428.22</v>
      </c>
      <c r="K45" s="531">
        <f>0.41+66.67</f>
        <v>67.08</v>
      </c>
      <c r="L45" s="531">
        <f t="shared" si="4"/>
        <v>11364.859999999999</v>
      </c>
      <c r="M45" s="531">
        <v>28.4</v>
      </c>
      <c r="N45" s="531">
        <v>6.82</v>
      </c>
      <c r="O45" s="531">
        <v>12.57</v>
      </c>
      <c r="P45" s="531">
        <v>213.86</v>
      </c>
      <c r="Q45" s="604" t="s">
        <v>1207</v>
      </c>
      <c r="R45" s="483"/>
    </row>
    <row r="46" spans="1:19" s="482" customFormat="1" ht="11.25" customHeight="1">
      <c r="A46" s="884" t="s">
        <v>1215</v>
      </c>
      <c r="B46" s="409"/>
      <c r="C46" s="483">
        <v>1184.19</v>
      </c>
      <c r="D46" s="483">
        <v>0.98</v>
      </c>
      <c r="E46" s="483">
        <v>524.16999999999996</v>
      </c>
      <c r="F46" s="483">
        <v>3189.76</v>
      </c>
      <c r="G46" s="483">
        <v>2598.15</v>
      </c>
      <c r="H46" s="483">
        <v>1455.51</v>
      </c>
      <c r="I46" s="483">
        <v>1357.67</v>
      </c>
      <c r="J46" s="483">
        <v>378.11</v>
      </c>
      <c r="K46" s="483">
        <f>0.37+58.67</f>
        <v>59.04</v>
      </c>
      <c r="L46" s="483">
        <f>SUM(C46:K46)</f>
        <v>10747.580000000002</v>
      </c>
      <c r="M46" s="483">
        <v>29.59</v>
      </c>
      <c r="N46" s="483">
        <v>7.03</v>
      </c>
      <c r="O46" s="483">
        <v>12.88</v>
      </c>
      <c r="P46" s="483">
        <v>149.04</v>
      </c>
      <c r="Q46" s="485" t="s">
        <v>1215</v>
      </c>
      <c r="R46" s="483"/>
    </row>
    <row r="47" spans="1:19" s="482" customFormat="1" ht="11.25" customHeight="1">
      <c r="A47" s="1163" t="s">
        <v>1216</v>
      </c>
      <c r="B47" s="953"/>
      <c r="C47" s="531">
        <v>1154.04</v>
      </c>
      <c r="D47" s="531">
        <v>0.85</v>
      </c>
      <c r="E47" s="531">
        <v>220.03</v>
      </c>
      <c r="F47" s="531">
        <v>2997.91</v>
      </c>
      <c r="G47" s="531">
        <v>2419.6799999999998</v>
      </c>
      <c r="H47" s="531">
        <v>1425.4</v>
      </c>
      <c r="I47" s="531">
        <v>1311.46</v>
      </c>
      <c r="J47" s="531">
        <v>393.74</v>
      </c>
      <c r="K47" s="531">
        <f>0.35+73.72</f>
        <v>74.069999999999993</v>
      </c>
      <c r="L47" s="531">
        <f t="shared" si="4"/>
        <v>9997.1799999999985</v>
      </c>
      <c r="M47" s="531">
        <v>28.12</v>
      </c>
      <c r="N47" s="531">
        <v>7.5</v>
      </c>
      <c r="O47" s="531">
        <v>13.85</v>
      </c>
      <c r="P47" s="531">
        <v>160.4</v>
      </c>
      <c r="Q47" s="604" t="s">
        <v>1216</v>
      </c>
      <c r="R47" s="483"/>
    </row>
    <row r="48" spans="1:19" s="482" customFormat="1" ht="11.25" customHeight="1">
      <c r="A48" s="884" t="s">
        <v>1208</v>
      </c>
      <c r="B48" s="409"/>
      <c r="C48" s="483">
        <v>1247.53</v>
      </c>
      <c r="D48" s="483">
        <v>1.03</v>
      </c>
      <c r="E48" s="483">
        <v>48.18</v>
      </c>
      <c r="F48" s="483">
        <v>4827.6000000000004</v>
      </c>
      <c r="G48" s="483">
        <v>2972.91</v>
      </c>
      <c r="H48" s="483">
        <v>1545.3</v>
      </c>
      <c r="I48" s="483">
        <v>1358.83</v>
      </c>
      <c r="J48" s="483">
        <v>419.04</v>
      </c>
      <c r="K48" s="483">
        <f>0.47+62.83</f>
        <v>63.3</v>
      </c>
      <c r="L48" s="483">
        <f t="shared" si="4"/>
        <v>12483.72</v>
      </c>
      <c r="M48" s="483">
        <v>28.12</v>
      </c>
      <c r="N48" s="483">
        <v>9.17</v>
      </c>
      <c r="O48" s="483">
        <v>16.77</v>
      </c>
      <c r="P48" s="483">
        <v>156.62</v>
      </c>
      <c r="Q48" s="485" t="s">
        <v>1208</v>
      </c>
      <c r="R48" s="483"/>
    </row>
    <row r="49" spans="1:18" s="482" customFormat="1" ht="11.25" customHeight="1">
      <c r="A49" s="1215" t="s">
        <v>1217</v>
      </c>
      <c r="B49" s="953"/>
      <c r="C49" s="531">
        <v>1418.2</v>
      </c>
      <c r="D49" s="531">
        <v>1.64</v>
      </c>
      <c r="E49" s="531">
        <v>20.98</v>
      </c>
      <c r="F49" s="531">
        <v>3777.81</v>
      </c>
      <c r="G49" s="531">
        <v>3259.68</v>
      </c>
      <c r="H49" s="531">
        <v>1592.26</v>
      </c>
      <c r="I49" s="531">
        <v>1564.76</v>
      </c>
      <c r="J49" s="531">
        <v>464.57</v>
      </c>
      <c r="K49" s="531">
        <f>0.39+69.69</f>
        <v>70.08</v>
      </c>
      <c r="L49" s="531">
        <f t="shared" si="4"/>
        <v>12169.98</v>
      </c>
      <c r="M49" s="531">
        <v>28.12</v>
      </c>
      <c r="N49" s="531">
        <v>9.35</v>
      </c>
      <c r="O49" s="531">
        <v>15.93</v>
      </c>
      <c r="P49" s="531">
        <v>188.4</v>
      </c>
      <c r="Q49" s="604" t="s">
        <v>1217</v>
      </c>
      <c r="R49" s="483"/>
    </row>
    <row r="50" spans="1:18" s="482" customFormat="1" ht="11.25" customHeight="1">
      <c r="A50" s="884" t="s">
        <v>1218</v>
      </c>
      <c r="B50" s="409"/>
      <c r="C50" s="483">
        <v>1646.02</v>
      </c>
      <c r="D50" s="483">
        <v>1.91</v>
      </c>
      <c r="E50" s="483">
        <v>38.590000000000003</v>
      </c>
      <c r="F50" s="483">
        <v>4038.35</v>
      </c>
      <c r="G50" s="483">
        <v>3648.13</v>
      </c>
      <c r="H50" s="483">
        <v>1661.22</v>
      </c>
      <c r="I50" s="483">
        <v>1648.29</v>
      </c>
      <c r="J50" s="483">
        <v>522.66999999999996</v>
      </c>
      <c r="K50" s="483">
        <f>0.45+106.31</f>
        <v>106.76</v>
      </c>
      <c r="L50" s="483">
        <f t="shared" si="4"/>
        <v>13311.939999999999</v>
      </c>
      <c r="M50" s="483">
        <v>41.62</v>
      </c>
      <c r="N50" s="483">
        <v>12.21</v>
      </c>
      <c r="O50" s="483">
        <v>17.57</v>
      </c>
      <c r="P50" s="483">
        <v>209.25</v>
      </c>
      <c r="Q50" s="485" t="s">
        <v>1218</v>
      </c>
      <c r="R50" s="483"/>
    </row>
    <row r="51" spans="1:18" s="482" customFormat="1" ht="11.25" customHeight="1">
      <c r="A51" s="1344" t="s">
        <v>1209</v>
      </c>
      <c r="B51" s="953"/>
      <c r="C51" s="531">
        <v>1684.28</v>
      </c>
      <c r="D51" s="531">
        <v>2.58</v>
      </c>
      <c r="E51" s="531">
        <v>14.49</v>
      </c>
      <c r="F51" s="531">
        <v>11289.23</v>
      </c>
      <c r="G51" s="531">
        <v>2743.26</v>
      </c>
      <c r="H51" s="531">
        <v>1716.55</v>
      </c>
      <c r="I51" s="531">
        <v>1164.79</v>
      </c>
      <c r="J51" s="531">
        <v>563.9</v>
      </c>
      <c r="K51" s="531">
        <f>0.74+79.32</f>
        <v>80.059999999999988</v>
      </c>
      <c r="L51" s="531">
        <f t="shared" si="4"/>
        <v>19259.140000000003</v>
      </c>
      <c r="M51" s="531">
        <v>81.02</v>
      </c>
      <c r="N51" s="531">
        <v>8.06</v>
      </c>
      <c r="O51" s="531">
        <v>93.54</v>
      </c>
      <c r="P51" s="531">
        <v>185.85</v>
      </c>
      <c r="Q51" s="604" t="s">
        <v>1209</v>
      </c>
      <c r="R51" s="483"/>
    </row>
    <row r="52" spans="1:18" s="482" customFormat="1" ht="11.25" customHeight="1">
      <c r="A52" s="818" t="s">
        <v>2644</v>
      </c>
      <c r="B52" s="409"/>
      <c r="C52" s="659">
        <f>SUM(C53:C64)</f>
        <v>18016.240000000002</v>
      </c>
      <c r="D52" s="659">
        <f t="shared" ref="D52:L52" si="5">SUM(D53:D64)</f>
        <v>32.739999999999995</v>
      </c>
      <c r="E52" s="659">
        <f t="shared" si="5"/>
        <v>1582.0399999999997</v>
      </c>
      <c r="F52" s="659">
        <f t="shared" si="5"/>
        <v>53263.590000000004</v>
      </c>
      <c r="G52" s="659">
        <f t="shared" si="5"/>
        <v>34852.550000000003</v>
      </c>
      <c r="H52" s="659">
        <f t="shared" si="5"/>
        <v>20583.760000000002</v>
      </c>
      <c r="I52" s="659">
        <f t="shared" si="5"/>
        <v>19630.849999999999</v>
      </c>
      <c r="J52" s="659">
        <f t="shared" si="5"/>
        <v>6558.42</v>
      </c>
      <c r="K52" s="659">
        <f t="shared" si="5"/>
        <v>923.53</v>
      </c>
      <c r="L52" s="659">
        <f t="shared" si="5"/>
        <v>155443.71999999997</v>
      </c>
      <c r="M52" s="659" t="s">
        <v>836</v>
      </c>
      <c r="N52" s="659" t="s">
        <v>836</v>
      </c>
      <c r="O52" s="659" t="s">
        <v>836</v>
      </c>
      <c r="P52" s="659" t="s">
        <v>836</v>
      </c>
      <c r="Q52" s="929" t="s">
        <v>2644</v>
      </c>
      <c r="R52" s="483"/>
    </row>
    <row r="53" spans="1:18" s="482" customFormat="1" ht="11.25" customHeight="1">
      <c r="A53" s="1344" t="s">
        <v>1211</v>
      </c>
      <c r="B53" s="953"/>
      <c r="C53" s="531">
        <v>1122.01</v>
      </c>
      <c r="D53" s="531">
        <v>3.08</v>
      </c>
      <c r="E53" s="531">
        <v>43.14</v>
      </c>
      <c r="F53" s="531">
        <v>2459.71</v>
      </c>
      <c r="G53" s="531">
        <v>2136.52</v>
      </c>
      <c r="H53" s="531">
        <v>1392.08</v>
      </c>
      <c r="I53" s="531">
        <v>995.89</v>
      </c>
      <c r="J53" s="531">
        <v>506.66</v>
      </c>
      <c r="K53" s="531">
        <f>0.37+68.6+0</f>
        <v>68.97</v>
      </c>
      <c r="L53" s="531">
        <f t="shared" si="4"/>
        <v>8728.06</v>
      </c>
      <c r="M53" s="531">
        <v>12.05</v>
      </c>
      <c r="N53" s="531">
        <v>3.61</v>
      </c>
      <c r="O53" s="531">
        <v>15.11</v>
      </c>
      <c r="P53" s="531">
        <v>148.08000000000001</v>
      </c>
      <c r="Q53" s="604" t="s">
        <v>1211</v>
      </c>
      <c r="R53" s="483"/>
    </row>
    <row r="54" spans="1:18" s="482" customFormat="1" ht="11.25" customHeight="1">
      <c r="A54" s="884" t="s">
        <v>1212</v>
      </c>
      <c r="B54" s="409"/>
      <c r="C54" s="483">
        <v>1261.3800000000001</v>
      </c>
      <c r="D54" s="483">
        <v>6.53</v>
      </c>
      <c r="E54" s="483">
        <v>32.619999999999997</v>
      </c>
      <c r="F54" s="483">
        <v>2533.29</v>
      </c>
      <c r="G54" s="483">
        <v>2313.4299999999998</v>
      </c>
      <c r="H54" s="483">
        <v>1466.68</v>
      </c>
      <c r="I54" s="483">
        <v>1345.51</v>
      </c>
      <c r="J54" s="483">
        <v>498.72</v>
      </c>
      <c r="K54" s="483">
        <f>0.33+68.48+0</f>
        <v>68.81</v>
      </c>
      <c r="L54" s="483">
        <f t="shared" si="4"/>
        <v>9526.9699999999993</v>
      </c>
      <c r="M54" s="483">
        <v>27.44</v>
      </c>
      <c r="N54" s="483">
        <v>5.59</v>
      </c>
      <c r="O54" s="483">
        <v>16.02</v>
      </c>
      <c r="P54" s="483">
        <v>202.65</v>
      </c>
      <c r="Q54" s="485" t="s">
        <v>1212</v>
      </c>
      <c r="R54" s="483"/>
    </row>
    <row r="55" spans="1:18" s="482" customFormat="1" ht="11.25" customHeight="1">
      <c r="A55" s="1386" t="s">
        <v>1206</v>
      </c>
      <c r="B55" s="1385"/>
      <c r="C55" s="531">
        <v>1382.02</v>
      </c>
      <c r="D55" s="531">
        <v>1.54</v>
      </c>
      <c r="E55" s="531">
        <v>42.77</v>
      </c>
      <c r="F55" s="531">
        <v>4471.28</v>
      </c>
      <c r="G55" s="531">
        <v>3121.08</v>
      </c>
      <c r="H55" s="531">
        <v>1709.66</v>
      </c>
      <c r="I55" s="531">
        <v>1465.92</v>
      </c>
      <c r="J55" s="531">
        <v>518.30999999999995</v>
      </c>
      <c r="K55" s="531">
        <f>0.32+78.68</f>
        <v>79</v>
      </c>
      <c r="L55" s="531">
        <f t="shared" si="4"/>
        <v>12791.579999999998</v>
      </c>
      <c r="M55" s="531">
        <v>23.94</v>
      </c>
      <c r="N55" s="531">
        <v>5.54</v>
      </c>
      <c r="O55" s="531">
        <v>14.99</v>
      </c>
      <c r="P55" s="531">
        <v>181.13</v>
      </c>
      <c r="Q55" s="604" t="s">
        <v>1206</v>
      </c>
      <c r="R55" s="483"/>
    </row>
    <row r="56" spans="1:18" s="482" customFormat="1" ht="11.25" customHeight="1">
      <c r="A56" s="884" t="s">
        <v>1213</v>
      </c>
      <c r="B56" s="409"/>
      <c r="C56" s="483">
        <v>1309.26</v>
      </c>
      <c r="D56" s="483">
        <v>5.56</v>
      </c>
      <c r="E56" s="483">
        <v>47.7</v>
      </c>
      <c r="F56" s="483">
        <v>3307.76</v>
      </c>
      <c r="G56" s="483">
        <v>2743.76</v>
      </c>
      <c r="H56" s="483">
        <v>1644.48</v>
      </c>
      <c r="I56" s="483">
        <v>1570.5</v>
      </c>
      <c r="J56" s="483">
        <v>536.1</v>
      </c>
      <c r="K56" s="483">
        <f>0.41+63.55</f>
        <v>63.959999999999994</v>
      </c>
      <c r="L56" s="483">
        <f t="shared" si="4"/>
        <v>11229.08</v>
      </c>
      <c r="M56" s="483">
        <v>29.44</v>
      </c>
      <c r="N56" s="483">
        <v>6.88</v>
      </c>
      <c r="O56" s="483">
        <v>14.36</v>
      </c>
      <c r="P56" s="483">
        <v>195.16</v>
      </c>
      <c r="Q56" s="485" t="s">
        <v>1213</v>
      </c>
      <c r="R56" s="483"/>
    </row>
    <row r="57" spans="1:18" s="482" customFormat="1" ht="11.25" customHeight="1">
      <c r="A57" s="1389" t="s">
        <v>1214</v>
      </c>
      <c r="B57" s="1388"/>
      <c r="C57" s="531">
        <v>1569.71</v>
      </c>
      <c r="D57" s="531">
        <v>3.67</v>
      </c>
      <c r="E57" s="531">
        <v>46.31</v>
      </c>
      <c r="F57" s="531">
        <v>3138.55</v>
      </c>
      <c r="G57" s="531">
        <v>3386.93</v>
      </c>
      <c r="H57" s="531">
        <v>1598.91</v>
      </c>
      <c r="I57" s="531">
        <v>2160.29</v>
      </c>
      <c r="J57" s="531">
        <v>523.04999999999995</v>
      </c>
      <c r="K57" s="531">
        <f>0.38+86.59</f>
        <v>86.97</v>
      </c>
      <c r="L57" s="531">
        <f t="shared" si="4"/>
        <v>12514.389999999998</v>
      </c>
      <c r="M57" s="531">
        <v>35.64</v>
      </c>
      <c r="N57" s="531">
        <v>7.44</v>
      </c>
      <c r="O57" s="531">
        <v>16.11</v>
      </c>
      <c r="P57" s="531">
        <v>213.14</v>
      </c>
      <c r="Q57" s="604" t="s">
        <v>1214</v>
      </c>
      <c r="R57" s="483"/>
    </row>
    <row r="58" spans="1:18" s="482" customFormat="1" ht="11.25" customHeight="1">
      <c r="A58" s="884" t="s">
        <v>1207</v>
      </c>
      <c r="B58" s="409"/>
      <c r="C58" s="483">
        <v>1593.82</v>
      </c>
      <c r="D58" s="483">
        <v>3.58</v>
      </c>
      <c r="E58" s="483">
        <v>295.44</v>
      </c>
      <c r="F58" s="483">
        <v>4610.99</v>
      </c>
      <c r="G58" s="483">
        <v>2827.54</v>
      </c>
      <c r="H58" s="483">
        <v>1660.71</v>
      </c>
      <c r="I58" s="483">
        <v>1644.39</v>
      </c>
      <c r="J58" s="483">
        <v>509.17</v>
      </c>
      <c r="K58" s="483">
        <f>0.43+78.16</f>
        <v>78.59</v>
      </c>
      <c r="L58" s="483">
        <f t="shared" si="4"/>
        <v>13224.229999999998</v>
      </c>
      <c r="M58" s="483">
        <v>40.76</v>
      </c>
      <c r="N58" s="483">
        <v>11.17</v>
      </c>
      <c r="O58" s="483">
        <v>14.65</v>
      </c>
      <c r="P58" s="483">
        <v>201.09</v>
      </c>
      <c r="Q58" s="485" t="s">
        <v>1207</v>
      </c>
      <c r="R58" s="483"/>
    </row>
    <row r="59" spans="1:18" s="482" customFormat="1" ht="11.25" customHeight="1">
      <c r="A59" s="1399" t="s">
        <v>1215</v>
      </c>
      <c r="B59" s="1398"/>
      <c r="C59" s="531">
        <v>1490.7</v>
      </c>
      <c r="D59" s="531">
        <v>1.1200000000000001</v>
      </c>
      <c r="E59" s="531">
        <v>464.77</v>
      </c>
      <c r="F59" s="531">
        <v>3447.14</v>
      </c>
      <c r="G59" s="531">
        <v>2609.17</v>
      </c>
      <c r="H59" s="531">
        <v>1719.74</v>
      </c>
      <c r="I59" s="531">
        <v>1572.76</v>
      </c>
      <c r="J59" s="531">
        <v>496.08</v>
      </c>
      <c r="K59" s="531">
        <f>0.37+82.88</f>
        <v>83.25</v>
      </c>
      <c r="L59" s="531">
        <f t="shared" si="4"/>
        <v>11884.73</v>
      </c>
      <c r="M59" s="531" t="s">
        <v>836</v>
      </c>
      <c r="N59" s="531" t="s">
        <v>836</v>
      </c>
      <c r="O59" s="531" t="s">
        <v>836</v>
      </c>
      <c r="P59" s="531" t="s">
        <v>836</v>
      </c>
      <c r="Q59" s="604" t="s">
        <v>1215</v>
      </c>
      <c r="R59" s="483"/>
    </row>
    <row r="60" spans="1:18" s="482" customFormat="1" ht="11.25" customHeight="1">
      <c r="A60" s="884" t="s">
        <v>1216</v>
      </c>
      <c r="B60" s="409"/>
      <c r="C60" s="483">
        <v>1483.99</v>
      </c>
      <c r="D60" s="483">
        <v>0.98</v>
      </c>
      <c r="E60" s="483">
        <v>302.56</v>
      </c>
      <c r="F60" s="483">
        <v>3247.01</v>
      </c>
      <c r="G60" s="483">
        <v>2532.87</v>
      </c>
      <c r="H60" s="483">
        <v>1641.92</v>
      </c>
      <c r="I60" s="483">
        <v>1507.84</v>
      </c>
      <c r="J60" s="483">
        <v>599.88</v>
      </c>
      <c r="K60" s="483">
        <f>73.94+0.34</f>
        <v>74.28</v>
      </c>
      <c r="L60" s="483">
        <f t="shared" si="4"/>
        <v>11391.33</v>
      </c>
      <c r="M60" s="483" t="s">
        <v>836</v>
      </c>
      <c r="N60" s="483" t="s">
        <v>836</v>
      </c>
      <c r="O60" s="483" t="s">
        <v>836</v>
      </c>
      <c r="P60" s="483" t="s">
        <v>836</v>
      </c>
      <c r="Q60" s="485" t="s">
        <v>1216</v>
      </c>
      <c r="R60" s="483"/>
    </row>
    <row r="61" spans="1:18" s="482" customFormat="1" ht="11.25" customHeight="1">
      <c r="A61" s="1424" t="s">
        <v>1208</v>
      </c>
      <c r="B61" s="1423"/>
      <c r="C61" s="531">
        <v>1660.76</v>
      </c>
      <c r="D61" s="531">
        <v>1.61</v>
      </c>
      <c r="E61" s="531">
        <v>113.06</v>
      </c>
      <c r="F61" s="531">
        <v>5217.03</v>
      </c>
      <c r="G61" s="531">
        <v>2816.7</v>
      </c>
      <c r="H61" s="531">
        <v>1863.84</v>
      </c>
      <c r="I61" s="531">
        <v>1768.06</v>
      </c>
      <c r="J61" s="531">
        <v>548.51</v>
      </c>
      <c r="K61" s="531">
        <f>82.98+0.55</f>
        <v>83.53</v>
      </c>
      <c r="L61" s="531">
        <f t="shared" si="4"/>
        <v>14073.1</v>
      </c>
      <c r="M61" s="531" t="s">
        <v>836</v>
      </c>
      <c r="N61" s="531" t="s">
        <v>836</v>
      </c>
      <c r="O61" s="531" t="s">
        <v>836</v>
      </c>
      <c r="P61" s="531" t="s">
        <v>836</v>
      </c>
      <c r="Q61" s="604" t="s">
        <v>1208</v>
      </c>
      <c r="R61" s="483"/>
    </row>
    <row r="62" spans="1:18" s="482" customFormat="1" ht="11.25" customHeight="1">
      <c r="A62" s="884" t="s">
        <v>1217</v>
      </c>
      <c r="B62" s="409"/>
      <c r="C62" s="483">
        <v>1447.16</v>
      </c>
      <c r="D62" s="483">
        <v>1.45</v>
      </c>
      <c r="E62" s="483">
        <v>70.27</v>
      </c>
      <c r="F62" s="483">
        <v>5348.65</v>
      </c>
      <c r="G62" s="483">
        <v>2771.93</v>
      </c>
      <c r="H62" s="483">
        <v>1744.25</v>
      </c>
      <c r="I62" s="483">
        <v>1867.71</v>
      </c>
      <c r="J62" s="483">
        <v>549.19000000000005</v>
      </c>
      <c r="K62" s="483">
        <f>104.66+0.49</f>
        <v>105.14999999999999</v>
      </c>
      <c r="L62" s="483">
        <f t="shared" si="4"/>
        <v>13905.759999999998</v>
      </c>
      <c r="M62" s="483" t="s">
        <v>836</v>
      </c>
      <c r="N62" s="483" t="s">
        <v>836</v>
      </c>
      <c r="O62" s="483" t="s">
        <v>836</v>
      </c>
      <c r="P62" s="483" t="s">
        <v>836</v>
      </c>
      <c r="Q62" s="485" t="s">
        <v>1217</v>
      </c>
      <c r="R62" s="483"/>
    </row>
    <row r="63" spans="1:18" s="482" customFormat="1" ht="11.25" customHeight="1">
      <c r="A63" s="1440" t="s">
        <v>1218</v>
      </c>
      <c r="B63" s="1439"/>
      <c r="C63" s="531">
        <v>1833.02</v>
      </c>
      <c r="D63" s="531">
        <v>0.96</v>
      </c>
      <c r="E63" s="531">
        <v>75.040000000000006</v>
      </c>
      <c r="F63" s="531">
        <v>4093.18</v>
      </c>
      <c r="G63" s="531">
        <v>3716.46</v>
      </c>
      <c r="H63" s="531">
        <v>1998.82</v>
      </c>
      <c r="I63" s="531">
        <v>1910.23</v>
      </c>
      <c r="J63" s="531">
        <v>594.97</v>
      </c>
      <c r="K63" s="531">
        <f>0.35+130.19</f>
        <v>130.54</v>
      </c>
      <c r="L63" s="531">
        <f t="shared" si="4"/>
        <v>14353.22</v>
      </c>
      <c r="M63" s="531" t="s">
        <v>836</v>
      </c>
      <c r="N63" s="531" t="s">
        <v>836</v>
      </c>
      <c r="O63" s="531" t="s">
        <v>836</v>
      </c>
      <c r="P63" s="531" t="s">
        <v>836</v>
      </c>
      <c r="Q63" s="604" t="s">
        <v>1218</v>
      </c>
      <c r="R63" s="483"/>
    </row>
    <row r="64" spans="1:18" s="482" customFormat="1" ht="11.25" customHeight="1">
      <c r="A64" s="448" t="s">
        <v>1209</v>
      </c>
      <c r="B64" s="409"/>
      <c r="C64" s="483">
        <v>1862.41</v>
      </c>
      <c r="D64" s="483">
        <v>2.66</v>
      </c>
      <c r="E64" s="483">
        <v>48.36</v>
      </c>
      <c r="F64" s="483">
        <v>11389</v>
      </c>
      <c r="G64" s="483">
        <v>3876.16</v>
      </c>
      <c r="H64" s="483">
        <v>2142.67</v>
      </c>
      <c r="I64" s="483">
        <v>1821.75</v>
      </c>
      <c r="J64" s="483">
        <v>677.78</v>
      </c>
      <c r="K64" s="483">
        <f>0.48</f>
        <v>0.48</v>
      </c>
      <c r="L64" s="483">
        <f t="shared" si="4"/>
        <v>21821.27</v>
      </c>
      <c r="M64" s="483" t="s">
        <v>836</v>
      </c>
      <c r="N64" s="483" t="s">
        <v>836</v>
      </c>
      <c r="O64" s="483" t="s">
        <v>836</v>
      </c>
      <c r="P64" s="483" t="s">
        <v>836</v>
      </c>
      <c r="Q64" s="485" t="s">
        <v>1209</v>
      </c>
      <c r="R64" s="483"/>
    </row>
    <row r="65" spans="1:18" s="482" customFormat="1" ht="11.25" customHeight="1">
      <c r="A65" s="1481" t="s">
        <v>2871</v>
      </c>
      <c r="B65" s="1482"/>
      <c r="C65" s="531"/>
      <c r="D65" s="531"/>
      <c r="E65" s="531"/>
      <c r="F65" s="531"/>
      <c r="G65" s="531"/>
      <c r="H65" s="531"/>
      <c r="I65" s="531"/>
      <c r="J65" s="531"/>
      <c r="K65" s="531"/>
      <c r="L65" s="531"/>
      <c r="M65" s="531"/>
      <c r="N65" s="531"/>
      <c r="O65" s="531"/>
      <c r="P65" s="531"/>
      <c r="Q65" s="1065" t="s">
        <v>2871</v>
      </c>
      <c r="R65" s="483"/>
    </row>
    <row r="66" spans="1:18" s="482" customFormat="1" ht="11.25" customHeight="1" thickBot="1">
      <c r="A66" s="1444" t="s">
        <v>1211</v>
      </c>
      <c r="B66" s="1334"/>
      <c r="C66" s="962">
        <v>1242.47</v>
      </c>
      <c r="D66" s="962">
        <v>2.15</v>
      </c>
      <c r="E66" s="962">
        <v>39.78</v>
      </c>
      <c r="F66" s="962">
        <v>2683.49</v>
      </c>
      <c r="G66" s="962">
        <v>2385.09</v>
      </c>
      <c r="H66" s="962">
        <v>1477.14</v>
      </c>
      <c r="I66" s="962">
        <v>1240.05</v>
      </c>
      <c r="J66" s="962">
        <v>449.74</v>
      </c>
      <c r="K66" s="962">
        <f>0.32+73.91</f>
        <v>74.22999999999999</v>
      </c>
      <c r="L66" s="962">
        <f t="shared" si="4"/>
        <v>9594.14</v>
      </c>
      <c r="M66" s="962" t="s">
        <v>836</v>
      </c>
      <c r="N66" s="962" t="s">
        <v>836</v>
      </c>
      <c r="O66" s="962" t="s">
        <v>836</v>
      </c>
      <c r="P66" s="962" t="s">
        <v>836</v>
      </c>
      <c r="Q66" s="1445" t="s">
        <v>1211</v>
      </c>
      <c r="R66" s="483"/>
    </row>
    <row r="67" spans="1:18" s="11" customFormat="1" ht="11.1" customHeight="1">
      <c r="A67" s="2187" t="s">
        <v>525</v>
      </c>
      <c r="B67" s="2188"/>
      <c r="C67" s="2188"/>
      <c r="D67" s="2188"/>
      <c r="E67" s="2188"/>
      <c r="F67" s="2188"/>
      <c r="G67" s="2188"/>
      <c r="H67" s="2188"/>
      <c r="K67" s="2123" t="s">
        <v>526</v>
      </c>
      <c r="L67" s="1971"/>
      <c r="M67" s="1971"/>
      <c r="N67" s="1971"/>
      <c r="O67" s="1971"/>
      <c r="P67" s="1971"/>
      <c r="Q67" s="1971"/>
    </row>
    <row r="68" spans="1:18" s="10" customFormat="1" ht="11.1" customHeight="1">
      <c r="A68" s="24"/>
      <c r="B68" s="24"/>
      <c r="K68" s="1971" t="s">
        <v>2642</v>
      </c>
      <c r="L68" s="1971"/>
      <c r="M68" s="1971"/>
      <c r="N68" s="1971"/>
      <c r="O68" s="1971"/>
      <c r="P68" s="1971"/>
      <c r="Q68" s="1971"/>
    </row>
    <row r="73" spans="1:18">
      <c r="L73" s="885"/>
    </row>
    <row r="74" spans="1:18">
      <c r="L74" s="885"/>
    </row>
    <row r="75" spans="1:18">
      <c r="L75" s="885"/>
    </row>
    <row r="77" spans="1:18">
      <c r="L77" s="885"/>
    </row>
    <row r="79" spans="1:18">
      <c r="L79" s="885"/>
    </row>
  </sheetData>
  <mergeCells count="24">
    <mergeCell ref="K68:Q68"/>
    <mergeCell ref="A67:H67"/>
    <mergeCell ref="M4:M5"/>
    <mergeCell ref="L4:L5"/>
    <mergeCell ref="K67:Q67"/>
    <mergeCell ref="N4:N5"/>
    <mergeCell ref="I4:J4"/>
    <mergeCell ref="E4:E5"/>
    <mergeCell ref="A1:J1"/>
    <mergeCell ref="P1:Q1"/>
    <mergeCell ref="A3:B5"/>
    <mergeCell ref="F4:F5"/>
    <mergeCell ref="C4:C5"/>
    <mergeCell ref="G4:H4"/>
    <mergeCell ref="M3:P3"/>
    <mergeCell ref="Q3:Q5"/>
    <mergeCell ref="K1:O1"/>
    <mergeCell ref="P2:Q2"/>
    <mergeCell ref="K3:L3"/>
    <mergeCell ref="C3:J3"/>
    <mergeCell ref="O4:O5"/>
    <mergeCell ref="P4:P5"/>
    <mergeCell ref="K4:K5"/>
    <mergeCell ref="D4:D5"/>
  </mergeCells>
  <phoneticPr fontId="0" type="noConversion"/>
  <pageMargins left="0.59055118110236204" right="0.511811023622047" top="0.511811023622047" bottom="0.511811023622047" header="0" footer="0.35433070866141703"/>
  <pageSetup paperSize="512" firstPageNumber="102" orientation="portrait" useFirstPageNumber="1" r:id="rId1"/>
  <headerFooter alignWithMargins="0">
    <oddFooter>&amp;C&amp;"Times New Roman,Regular"&amp;8&amp;P</oddFooter>
  </headerFooter>
  <ignoredErrors>
    <ignoredError sqref="L26" formula="1"/>
  </ignoredErrors>
</worksheet>
</file>

<file path=xl/worksheets/sheet37.xml><?xml version="1.0" encoding="utf-8"?>
<worksheet xmlns="http://schemas.openxmlformats.org/spreadsheetml/2006/main" xmlns:r="http://schemas.openxmlformats.org/officeDocument/2006/relationships">
  <dimension ref="B1:H39"/>
  <sheetViews>
    <sheetView topLeftCell="A22" workbookViewId="0"/>
  </sheetViews>
  <sheetFormatPr defaultRowHeight="12.75"/>
  <cols>
    <col min="1" max="1" width="5.140625" customWidth="1"/>
    <col min="2" max="2" width="11.85546875" customWidth="1"/>
    <col min="3" max="3" width="3.85546875" customWidth="1"/>
    <col min="4" max="4" width="15" customWidth="1"/>
    <col min="5" max="5" width="5.85546875" customWidth="1"/>
    <col min="6" max="6" width="10.42578125" customWidth="1"/>
    <col min="7" max="7" width="4" customWidth="1"/>
    <col min="8" max="8" width="19.5703125" customWidth="1"/>
  </cols>
  <sheetData>
    <row r="1" spans="2:8" ht="15.75">
      <c r="B1" s="2191" t="s">
        <v>911</v>
      </c>
      <c r="C1" s="2191"/>
      <c r="D1" s="2191"/>
      <c r="E1" s="2191"/>
      <c r="F1" s="2191"/>
      <c r="G1" s="2191"/>
      <c r="H1" s="2191"/>
    </row>
    <row r="2" spans="2:8" s="4" customFormat="1" ht="12">
      <c r="B2" s="2192" t="s">
        <v>1014</v>
      </c>
      <c r="C2" s="2192"/>
      <c r="D2" s="2192"/>
      <c r="E2" s="2192"/>
      <c r="F2" s="2192"/>
      <c r="G2" s="2192"/>
      <c r="H2" s="2192"/>
    </row>
    <row r="3" spans="2:8">
      <c r="B3" s="338"/>
      <c r="C3" s="338"/>
      <c r="D3" s="338"/>
      <c r="E3" s="338"/>
      <c r="F3" s="338"/>
      <c r="G3" s="338"/>
      <c r="H3" s="338"/>
    </row>
    <row r="4" spans="2:8">
      <c r="B4" s="339"/>
      <c r="C4" s="339"/>
      <c r="D4" s="339"/>
      <c r="E4" s="339"/>
      <c r="F4" s="339"/>
      <c r="G4" s="339"/>
      <c r="H4" s="339"/>
    </row>
    <row r="5" spans="2:8" ht="15" customHeight="1">
      <c r="B5" s="340" t="s">
        <v>1015</v>
      </c>
      <c r="C5" s="341" t="s">
        <v>1016</v>
      </c>
      <c r="D5" s="339" t="s">
        <v>1017</v>
      </c>
      <c r="E5" s="339"/>
      <c r="F5" s="339" t="s">
        <v>1018</v>
      </c>
      <c r="G5" s="339" t="s">
        <v>1016</v>
      </c>
      <c r="H5" s="339" t="s">
        <v>1019</v>
      </c>
    </row>
    <row r="6" spans="2:8" ht="15" customHeight="1">
      <c r="B6" s="339"/>
      <c r="C6" s="341" t="s">
        <v>1016</v>
      </c>
      <c r="D6" s="341" t="s">
        <v>1020</v>
      </c>
      <c r="E6" s="341"/>
      <c r="F6" s="341"/>
      <c r="G6" s="341" t="s">
        <v>1016</v>
      </c>
      <c r="H6" s="341" t="s">
        <v>1021</v>
      </c>
    </row>
    <row r="7" spans="2:8" ht="15" customHeight="1">
      <c r="B7" s="339"/>
      <c r="C7" s="339"/>
      <c r="D7" s="341"/>
      <c r="E7" s="341"/>
      <c r="F7" s="341"/>
      <c r="G7" s="341"/>
      <c r="H7" s="341"/>
    </row>
    <row r="8" spans="2:8" ht="15" customHeight="1">
      <c r="B8" s="341" t="s">
        <v>1022</v>
      </c>
      <c r="C8" s="341" t="s">
        <v>1016</v>
      </c>
      <c r="D8" s="341" t="s">
        <v>1023</v>
      </c>
      <c r="E8" s="341"/>
      <c r="F8" s="341" t="s">
        <v>1024</v>
      </c>
      <c r="G8" s="341" t="s">
        <v>1016</v>
      </c>
      <c r="H8" s="341" t="s">
        <v>1025</v>
      </c>
    </row>
    <row r="9" spans="2:8" ht="15" customHeight="1">
      <c r="B9" s="339"/>
      <c r="C9" s="341"/>
      <c r="D9" s="341"/>
      <c r="E9" s="341"/>
      <c r="F9" s="341"/>
      <c r="G9" s="341" t="s">
        <v>1016</v>
      </c>
      <c r="H9" s="341" t="s">
        <v>1027</v>
      </c>
    </row>
    <row r="10" spans="2:8" ht="15" customHeight="1">
      <c r="B10" s="339"/>
      <c r="C10" s="341"/>
      <c r="D10" s="341"/>
      <c r="E10" s="341"/>
      <c r="F10" s="341"/>
      <c r="G10" s="341"/>
      <c r="H10" s="341"/>
    </row>
    <row r="11" spans="2:8" ht="15" customHeight="1">
      <c r="B11" s="341" t="s">
        <v>1028</v>
      </c>
      <c r="C11" s="341" t="s">
        <v>1016</v>
      </c>
      <c r="D11" s="341" t="s">
        <v>1029</v>
      </c>
      <c r="E11" s="341"/>
      <c r="F11" s="341" t="s">
        <v>1030</v>
      </c>
      <c r="G11" s="341" t="s">
        <v>1016</v>
      </c>
      <c r="H11" s="341" t="s">
        <v>1031</v>
      </c>
    </row>
    <row r="12" spans="2:8" ht="15" customHeight="1">
      <c r="B12" s="341" t="s">
        <v>1032</v>
      </c>
      <c r="C12" s="341" t="s">
        <v>1016</v>
      </c>
      <c r="D12" s="341" t="s">
        <v>1033</v>
      </c>
      <c r="E12" s="341"/>
      <c r="F12" s="341"/>
      <c r="G12" s="341" t="s">
        <v>1016</v>
      </c>
      <c r="H12" s="341" t="s">
        <v>1034</v>
      </c>
    </row>
    <row r="13" spans="2:8" ht="15" customHeight="1">
      <c r="B13" s="341"/>
      <c r="C13" s="341"/>
      <c r="D13" s="341"/>
      <c r="E13" s="341"/>
      <c r="F13" s="341"/>
      <c r="G13" s="341"/>
      <c r="H13" s="341"/>
    </row>
    <row r="14" spans="2:8" ht="15" customHeight="1">
      <c r="B14" s="341"/>
      <c r="C14" s="341"/>
      <c r="D14" s="341"/>
      <c r="E14" s="341"/>
      <c r="F14" s="341" t="s">
        <v>1035</v>
      </c>
      <c r="G14" s="341" t="s">
        <v>1016</v>
      </c>
      <c r="H14" s="341" t="s">
        <v>1036</v>
      </c>
    </row>
    <row r="15" spans="2:8" ht="15" customHeight="1">
      <c r="B15" s="341" t="s">
        <v>1037</v>
      </c>
      <c r="C15" s="341" t="s">
        <v>1016</v>
      </c>
      <c r="D15" s="341" t="s">
        <v>1038</v>
      </c>
      <c r="E15" s="341"/>
      <c r="F15" s="341"/>
      <c r="G15" s="341" t="s">
        <v>1016</v>
      </c>
      <c r="H15" s="341" t="s">
        <v>1039</v>
      </c>
    </row>
    <row r="16" spans="2:8" ht="15" customHeight="1">
      <c r="B16" s="341"/>
      <c r="C16" s="341" t="s">
        <v>1016</v>
      </c>
      <c r="D16" s="341" t="s">
        <v>1040</v>
      </c>
      <c r="E16" s="341"/>
      <c r="F16" s="341"/>
      <c r="G16" s="341"/>
      <c r="H16" s="341"/>
    </row>
    <row r="17" spans="2:8" ht="15" customHeight="1">
      <c r="B17" s="341"/>
      <c r="C17" s="341"/>
      <c r="E17" s="341"/>
      <c r="F17" s="341" t="s">
        <v>1041</v>
      </c>
      <c r="G17" s="341" t="s">
        <v>1016</v>
      </c>
      <c r="H17" s="341" t="s">
        <v>1042</v>
      </c>
    </row>
    <row r="18" spans="2:8" ht="15" customHeight="1">
      <c r="B18" s="342" t="s">
        <v>1043</v>
      </c>
      <c r="C18" s="341" t="s">
        <v>1016</v>
      </c>
      <c r="D18" s="341" t="s">
        <v>1046</v>
      </c>
      <c r="E18" s="341"/>
      <c r="F18" s="341" t="s">
        <v>1044</v>
      </c>
      <c r="G18" s="341" t="s">
        <v>1016</v>
      </c>
      <c r="H18" s="341" t="s">
        <v>1045</v>
      </c>
    </row>
    <row r="19" spans="2:8" ht="15" customHeight="1">
      <c r="B19" s="2"/>
      <c r="C19" s="341" t="s">
        <v>1016</v>
      </c>
      <c r="D19" s="342" t="s">
        <v>2715</v>
      </c>
      <c r="E19" s="341"/>
      <c r="F19" s="341" t="s">
        <v>1123</v>
      </c>
      <c r="G19" s="341" t="s">
        <v>1016</v>
      </c>
      <c r="H19" s="341" t="s">
        <v>1047</v>
      </c>
    </row>
    <row r="20" spans="2:8" ht="15" customHeight="1">
      <c r="B20" s="341" t="s">
        <v>1048</v>
      </c>
      <c r="C20" s="341" t="s">
        <v>1016</v>
      </c>
      <c r="D20" s="341" t="s">
        <v>1049</v>
      </c>
      <c r="E20" s="341"/>
      <c r="F20" s="341" t="s">
        <v>1050</v>
      </c>
      <c r="G20" s="341" t="s">
        <v>1016</v>
      </c>
      <c r="H20" s="341" t="s">
        <v>1051</v>
      </c>
    </row>
    <row r="21" spans="2:8" ht="15" customHeight="1">
      <c r="B21" s="341"/>
      <c r="C21" s="341" t="s">
        <v>1016</v>
      </c>
      <c r="D21" s="341" t="s">
        <v>1052</v>
      </c>
      <c r="E21" s="341"/>
      <c r="F21" s="341" t="s">
        <v>1053</v>
      </c>
      <c r="G21" s="341" t="s">
        <v>1016</v>
      </c>
      <c r="H21" s="341" t="s">
        <v>1054</v>
      </c>
    </row>
    <row r="22" spans="2:8" ht="15" customHeight="1">
      <c r="B22" s="341"/>
      <c r="C22" s="341" t="s">
        <v>1016</v>
      </c>
      <c r="D22" s="341" t="s">
        <v>1055</v>
      </c>
      <c r="E22" s="341"/>
      <c r="F22" s="341"/>
      <c r="G22" s="341" t="s">
        <v>1016</v>
      </c>
      <c r="H22" s="341" t="s">
        <v>1058</v>
      </c>
    </row>
    <row r="23" spans="2:8" ht="15" customHeight="1">
      <c r="B23" s="341"/>
      <c r="C23" s="341" t="s">
        <v>1016</v>
      </c>
      <c r="D23" s="341" t="s">
        <v>1059</v>
      </c>
      <c r="E23" s="341"/>
      <c r="F23" s="341"/>
      <c r="G23" s="341"/>
      <c r="H23" s="341"/>
    </row>
    <row r="24" spans="2:8" ht="15" customHeight="1">
      <c r="B24" s="341"/>
      <c r="C24" s="341"/>
      <c r="D24" s="341"/>
      <c r="E24" s="341"/>
      <c r="F24" s="341" t="s">
        <v>1121</v>
      </c>
      <c r="G24" s="341" t="s">
        <v>1016</v>
      </c>
      <c r="H24" s="341" t="s">
        <v>1063</v>
      </c>
    </row>
    <row r="25" spans="2:8" ht="15" customHeight="1">
      <c r="B25" s="341" t="s">
        <v>1064</v>
      </c>
      <c r="C25" s="341" t="s">
        <v>1016</v>
      </c>
      <c r="D25" s="341" t="s">
        <v>1065</v>
      </c>
      <c r="E25" s="341"/>
      <c r="F25" s="341"/>
      <c r="G25" s="341" t="s">
        <v>1016</v>
      </c>
      <c r="H25" s="341" t="s">
        <v>1066</v>
      </c>
    </row>
    <row r="26" spans="2:8" ht="15" customHeight="1">
      <c r="B26" s="341"/>
      <c r="C26" s="341" t="s">
        <v>1016</v>
      </c>
      <c r="D26" s="341" t="s">
        <v>1067</v>
      </c>
      <c r="E26" s="341"/>
      <c r="F26" s="341"/>
      <c r="G26" s="341" t="s">
        <v>1016</v>
      </c>
      <c r="H26" s="341" t="s">
        <v>1068</v>
      </c>
    </row>
    <row r="27" spans="2:8" ht="15" customHeight="1">
      <c r="B27" s="341"/>
      <c r="C27" s="343" t="s">
        <v>1016</v>
      </c>
      <c r="D27" s="343" t="s">
        <v>1069</v>
      </c>
      <c r="E27" s="341"/>
      <c r="F27" s="341"/>
      <c r="G27" s="341"/>
      <c r="H27" s="341"/>
    </row>
    <row r="28" spans="2:8" ht="15" customHeight="1">
      <c r="B28" s="341"/>
      <c r="C28" s="341"/>
      <c r="D28" s="341"/>
      <c r="E28" s="341"/>
      <c r="F28" s="341" t="s">
        <v>1070</v>
      </c>
      <c r="G28" s="341" t="s">
        <v>1016</v>
      </c>
      <c r="H28" s="341" t="s">
        <v>1071</v>
      </c>
    </row>
    <row r="29" spans="2:8" ht="15" customHeight="1">
      <c r="B29" s="341" t="s">
        <v>1072</v>
      </c>
      <c r="C29" s="341" t="s">
        <v>1016</v>
      </c>
      <c r="D29" s="341" t="s">
        <v>1073</v>
      </c>
      <c r="E29" s="341"/>
      <c r="F29" s="341" t="s">
        <v>1074</v>
      </c>
      <c r="G29" s="341" t="s">
        <v>1016</v>
      </c>
      <c r="H29" s="341" t="s">
        <v>1075</v>
      </c>
    </row>
    <row r="30" spans="2:8" ht="15" customHeight="1">
      <c r="B30" s="341"/>
      <c r="C30" s="341" t="s">
        <v>1016</v>
      </c>
      <c r="D30" s="341" t="s">
        <v>1076</v>
      </c>
      <c r="E30" s="341"/>
      <c r="F30" s="341"/>
      <c r="G30" s="341" t="s">
        <v>1016</v>
      </c>
      <c r="H30" s="341" t="s">
        <v>1077</v>
      </c>
    </row>
    <row r="31" spans="2:8" ht="15" customHeight="1">
      <c r="B31" s="341"/>
      <c r="C31" s="341"/>
      <c r="D31" s="341"/>
      <c r="E31" s="341"/>
      <c r="F31" s="341"/>
      <c r="G31" s="341" t="s">
        <v>1016</v>
      </c>
      <c r="H31" s="341" t="s">
        <v>1122</v>
      </c>
    </row>
    <row r="32" spans="2:8" ht="15" customHeight="1">
      <c r="B32" s="341" t="s">
        <v>1078</v>
      </c>
      <c r="C32" s="341" t="s">
        <v>1016</v>
      </c>
      <c r="D32" s="341" t="s">
        <v>1079</v>
      </c>
      <c r="E32" s="341"/>
      <c r="F32" s="341"/>
      <c r="G32" s="341" t="s">
        <v>1016</v>
      </c>
      <c r="H32" s="341" t="s">
        <v>909</v>
      </c>
    </row>
    <row r="33" spans="2:8" ht="15" customHeight="1">
      <c r="B33" s="341"/>
      <c r="C33" s="341" t="s">
        <v>1016</v>
      </c>
      <c r="D33" s="341" t="s">
        <v>1080</v>
      </c>
      <c r="E33" s="341"/>
    </row>
    <row r="34" spans="2:8" ht="15" customHeight="1">
      <c r="B34" s="341"/>
      <c r="C34" s="341" t="s">
        <v>1016</v>
      </c>
      <c r="D34" s="341" t="s">
        <v>1083</v>
      </c>
      <c r="E34" s="341"/>
      <c r="F34" s="341" t="s">
        <v>1081</v>
      </c>
      <c r="G34" s="341" t="s">
        <v>1016</v>
      </c>
      <c r="H34" s="341" t="s">
        <v>1082</v>
      </c>
    </row>
    <row r="35" spans="2:8" ht="15" customHeight="1">
      <c r="B35" s="341"/>
      <c r="C35" s="341"/>
      <c r="D35" s="341"/>
      <c r="E35" s="341"/>
      <c r="F35" s="341" t="s">
        <v>907</v>
      </c>
      <c r="G35" s="341" t="s">
        <v>1016</v>
      </c>
      <c r="H35" s="341" t="s">
        <v>908</v>
      </c>
    </row>
    <row r="36" spans="2:8" ht="15" customHeight="1">
      <c r="B36" s="341" t="s">
        <v>1084</v>
      </c>
      <c r="C36" s="341" t="s">
        <v>1016</v>
      </c>
      <c r="D36" s="341" t="s">
        <v>1085</v>
      </c>
      <c r="E36" s="341"/>
      <c r="F36" s="341" t="s">
        <v>1584</v>
      </c>
      <c r="G36" s="341" t="s">
        <v>1016</v>
      </c>
      <c r="H36" s="341" t="s">
        <v>906</v>
      </c>
    </row>
    <row r="37" spans="2:8" ht="15" customHeight="1" thickBot="1">
      <c r="B37" s="653"/>
      <c r="C37" s="653"/>
      <c r="D37" s="654"/>
      <c r="E37" s="654"/>
      <c r="F37" s="654"/>
      <c r="G37" s="654"/>
      <c r="H37" s="654"/>
    </row>
    <row r="38" spans="2:8" ht="15" customHeight="1">
      <c r="B38" s="2193" t="s">
        <v>1086</v>
      </c>
      <c r="C38" s="2193"/>
      <c r="D38" s="2193"/>
      <c r="E38" s="2193"/>
      <c r="F38" s="2193"/>
      <c r="G38" s="2193"/>
      <c r="H38" s="2193"/>
    </row>
    <row r="39" spans="2:8">
      <c r="B39" s="2"/>
      <c r="C39" s="2"/>
      <c r="D39" s="2"/>
      <c r="E39" s="2"/>
      <c r="F39" s="2"/>
      <c r="G39" s="2"/>
      <c r="H39" s="2"/>
    </row>
  </sheetData>
  <mergeCells count="3">
    <mergeCell ref="B1:H1"/>
    <mergeCell ref="B2:H2"/>
    <mergeCell ref="B38:H38"/>
  </mergeCells>
  <pageMargins left="0.70866141732283505" right="0.70866141732283505" top="0.74803149606299202" bottom="0.74803149606299202" header="0.31496062992126" footer="0.31496062992126"/>
  <pageSetup paperSize="512" firstPageNumber="105" orientation="portrait" useFirstPageNumber="1" r:id="rId1"/>
  <headerFooter>
    <oddFooter>&amp;C&amp;"Times New Roman,Regular"&amp;8&amp;P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37</vt:i4>
      </vt:variant>
    </vt:vector>
  </HeadingPairs>
  <TitlesOfParts>
    <vt:vector size="37" baseType="lpstr">
      <vt:lpstr>Cover Page</vt:lpstr>
      <vt:lpstr>Contents</vt:lpstr>
      <vt:lpstr>Table IA</vt:lpstr>
      <vt:lpstr>Table IB</vt:lpstr>
      <vt:lpstr>TableIIA</vt:lpstr>
      <vt:lpstr>TableIIB</vt:lpstr>
      <vt:lpstr>TableIIC </vt:lpstr>
      <vt:lpstr>Table IID</vt:lpstr>
      <vt:lpstr>Table IIE</vt:lpstr>
      <vt:lpstr>Table IIF</vt:lpstr>
      <vt:lpstr>Table IIG</vt:lpstr>
      <vt:lpstr>Table III A</vt:lpstr>
      <vt:lpstr>Table IIIB</vt:lpstr>
      <vt:lpstr>Table IV</vt:lpstr>
      <vt:lpstr>Table V</vt:lpstr>
      <vt:lpstr>Table VI</vt:lpstr>
      <vt:lpstr>Table VII</vt:lpstr>
      <vt:lpstr>Table VIII</vt:lpstr>
      <vt:lpstr>TableIXA</vt:lpstr>
      <vt:lpstr>TableIXB</vt:lpstr>
      <vt:lpstr>TableIXC</vt:lpstr>
      <vt:lpstr>TableX</vt:lpstr>
      <vt:lpstr>TableXI</vt:lpstr>
      <vt:lpstr>Table XIIA</vt:lpstr>
      <vt:lpstr>Table XIIB</vt:lpstr>
      <vt:lpstr>TableXIII</vt:lpstr>
      <vt:lpstr>Table XIV</vt:lpstr>
      <vt:lpstr>TableXV</vt:lpstr>
      <vt:lpstr>TableXVI</vt:lpstr>
      <vt:lpstr>Table XVII</vt:lpstr>
      <vt:lpstr>Table XVIII</vt:lpstr>
      <vt:lpstr>TableXIX</vt:lpstr>
      <vt:lpstr>TableXX</vt:lpstr>
      <vt:lpstr>TableXXI</vt:lpstr>
      <vt:lpstr>Table XXII</vt:lpstr>
      <vt:lpstr>Table XXIII</vt:lpstr>
      <vt:lpstr>Appendix- Weights &amp; Measures</vt:lpstr>
    </vt:vector>
  </TitlesOfParts>
  <Company>icsl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Infotech</dc:creator>
  <cp:lastModifiedBy>ayasha</cp:lastModifiedBy>
  <cp:lastPrinted>2017-02-22T12:06:09Z</cp:lastPrinted>
  <dcterms:created xsi:type="dcterms:W3CDTF">2007-04-10T13:42:14Z</dcterms:created>
  <dcterms:modified xsi:type="dcterms:W3CDTF">2017-03-13T11:56:51Z</dcterms:modified>
</cp:coreProperties>
</file>